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4/XEwedvYjHt7xev2VnmpKCxTpM7+2lXZ5s+AaCeV4vgjmkwTht8gGCBAnXkZxgMstNTsVLGbX1udCwCurPzg==" workbookSaltValue="Jybr8/CVqvy1p7wD77O7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B18" i="7" l="1"/>
  <c r="S19" i="8"/>
  <c r="AB13" i="21"/>
  <c r="BG10" i="8"/>
  <c r="V9" i="16"/>
  <c r="V10" i="16"/>
  <c r="L17" i="2"/>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F20" i="16"/>
  <c r="X20" i="16"/>
  <c r="I20" i="11"/>
  <c r="AQ20" i="16"/>
  <c r="AT20" i="16"/>
  <c r="BG20" i="16"/>
  <c r="W20" i="16"/>
  <c r="AM20" i="21"/>
  <c r="AA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C20" i="16"/>
  <c r="AG20" i="11"/>
  <c r="T20" i="11"/>
  <c r="M20" i="17"/>
  <c r="AL20" i="17"/>
  <c r="AN20" i="21"/>
  <c r="AK20" i="11"/>
  <c r="AC20" i="21"/>
  <c r="AS20" i="17"/>
  <c r="D20" i="12"/>
  <c r="S20" i="21"/>
  <c r="AF20" i="11"/>
  <c r="R20" i="17"/>
  <c r="AT20" i="11"/>
  <c r="AG20" i="21"/>
  <c r="S20" i="16"/>
  <c r="AX20" i="16"/>
  <c r="P20" i="17"/>
  <c r="AT20" i="20"/>
  <c r="AY20" i="11"/>
  <c r="W20" i="17"/>
  <c r="AA20" i="17"/>
  <c r="AC20" i="16"/>
  <c r="Q20" i="21"/>
  <c r="AV20" i="16"/>
  <c r="AK20" i="21"/>
  <c r="AJ20" i="11"/>
  <c r="AN20" i="11"/>
  <c r="Y20" i="11"/>
  <c r="AH20" i="17"/>
  <c r="X20" i="11"/>
  <c r="F20" i="11"/>
  <c r="R20" i="11"/>
  <c r="AH20" i="21"/>
  <c r="AE20" i="16"/>
  <c r="BB20" i="16"/>
  <c r="AM20" i="11"/>
  <c r="E20" i="12"/>
  <c r="AN20" i="17"/>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Z20" i="16"/>
  <c r="P20" i="16"/>
  <c r="AM20" i="17"/>
  <c r="U20" i="20"/>
  <c r="Y20" i="17"/>
  <c r="I20" i="17"/>
  <c r="N20" i="17"/>
  <c r="BQ20" i="16"/>
  <c r="AA20" i="16"/>
  <c r="AW20" i="16"/>
  <c r="BO20" i="16"/>
  <c r="AF20" i="16"/>
  <c r="O20" i="16"/>
  <c r="AH20" i="11"/>
  <c r="BH20" i="16"/>
  <c r="Z20" i="17"/>
  <c r="O12" i="11"/>
  <c r="BA20" i="16"/>
  <c r="AQ20" i="17" l="1"/>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<sst xmlns="http://schemas.openxmlformats.org/spreadsheetml/2006/main" count="2102" uniqueCount="918">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</sst>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AHNYAMODKUWR/VDq4Yi+7ROEm0VF52JG7KsC41SIC/aX/Mx7w/iuJWqBnPuDb6b3mI1JjBpoacWPbvds3PCww==" saltValue="8yEADP0mlpbyzsleORB9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65</v>
      </c>
      <c r="D10" s="225">
        <f>IF(ISNUMBER(Datos!I10),Datos!I10," - ")</f>
        <v>133</v>
      </c>
      <c r="E10" s="226">
        <f>IF(ISNUMBER(Datos!J10),Datos!J10," - ")</f>
        <v>2</v>
      </c>
      <c r="F10" s="226">
        <f>IF(ISNUMBER(Datos!K10),Datos!K10," - ")</f>
        <v>3</v>
      </c>
      <c r="G10" s="1034" t="str">
        <f>IF(Datos!E10&lt;&gt;"",Datos!E10,Datos!D10)</f>
        <v>37</v>
      </c>
      <c r="H10" s="227">
        <f>IF(ISNUMBER(Datos!L10),Datos!L10," - ")</f>
        <v>64</v>
      </c>
      <c r="I10" s="1044" t="str">
        <f>IF(ISNUMBER(Datos!AS10/Datos!BM10),Datos!AS10/Datos!BM10," - ")</f>
        <v xml:space="preserve"> - </v>
      </c>
      <c r="J10" s="1045">
        <f>IF(ISNUMBER(Datos!BY10/Datos!CN10),Datos!BY10/Datos!CN10," - ")</f>
        <v>0</v>
      </c>
      <c r="K10" s="230">
        <f t="shared" ref="K10:K12" si="1">IF(ISNUMBER((E10-F10)/C10),(E10-F10)/C10," - ")</f>
        <v>-1.5384615384615385E-2</v>
      </c>
      <c r="L10" s="1025">
        <f>IF(ISNUMBER(NºAsuntos!I10/NºAsuntos!G10),(NºAsuntos!I10/NºAsuntos!G10)*11," - ")</f>
        <v>234.66666666666666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111.44089456869008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65</v>
      </c>
      <c r="D13" s="1049">
        <f>SUBTOTAL(9,D9:D12)</f>
        <v>133</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4681</v>
      </c>
      <c r="D16" s="225">
        <f>IF(ISNUMBER(IF(D_I="SI",Datos!I16,Datos!I16+Datos!AC16)),IF(D_I="SI",Datos!I16,Datos!I16+Datos!AC16)," - ")</f>
        <v>5018</v>
      </c>
      <c r="E16" s="226">
        <f>IF(ISNUMBER(IF(D_I="SI",Datos!J16,Datos!J16+Datos!AD16)),IF(D_I="SI",Datos!J16,Datos!J16+Datos!AD16)," - ")</f>
        <v>982</v>
      </c>
      <c r="F16" s="226">
        <f>IF(ISNUMBER(IF(D_I="SI",Datos!K16,Datos!K16+Datos!AE16)),IF(D_I="SI",Datos!K16,Datos!K16+Datos!AE16)," - ")</f>
        <v>1049</v>
      </c>
      <c r="G16" s="1034" t="str">
        <f>IF(Datos!E16&lt;&gt;"",Datos!E16,Datos!D16)</f>
        <v>04</v>
      </c>
      <c r="H16" s="227">
        <f>IF(ISNUMBER(IF(D_I="SI",Datos!L16,Datos!L16+Datos!AF16)),IF(D_I="SI",Datos!L16,Datos!L16+Datos!AF16)," - ")</f>
        <v>4614</v>
      </c>
      <c r="I16" s="1044" t="str">
        <f>IF(ISNUMBER(Datos!AS16/Datos!BM16),Datos!AS16/Datos!BM16," - ")</f>
        <v xml:space="preserve"> - </v>
      </c>
      <c r="J16" s="1045">
        <f>IF(ISNUMBER(Datos!BY16/Datos!CN16),Datos!BY16/Datos!CN16," - ")</f>
        <v>0</v>
      </c>
      <c r="K16" s="230">
        <f t="shared" si="3"/>
        <v>-1.4313180944242684E-2</v>
      </c>
      <c r="L16" s="1025">
        <f>IF(ISNUMBER(NºAsuntos!I16/NºAsuntos!G16),(NºAsuntos!I16/NºAsuntos!G16)*11," - ")</f>
        <v>48.383222116301241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110</v>
      </c>
      <c r="D17" s="225">
        <f>IF(ISNUMBER(IF(D_I="SI",Datos!I17,Datos!I17+Datos!AC17)),IF(D_I="SI",Datos!I17,Datos!I17+Datos!AC17)," - ")</f>
        <v>276</v>
      </c>
      <c r="E17" s="226">
        <f>IF(ISNUMBER(IF(D_I="SI",Datos!J17,Datos!J17+Datos!AD17)),IF(D_I="SI",Datos!J17,Datos!J17+Datos!AD17)," - ")</f>
        <v>104</v>
      </c>
      <c r="F17" s="226">
        <f>IF(ISNUMBER(IF(D_I="SI",Datos!K17,Datos!K17+Datos!AE17)),IF(D_I="SI",Datos!K17,Datos!K17+Datos!AE17)," - ")</f>
        <v>99</v>
      </c>
      <c r="G17" s="1034" t="str">
        <f>IF(Datos!E17&lt;&gt;"",Datos!E17,Datos!D17)</f>
        <v>37</v>
      </c>
      <c r="H17" s="227">
        <f>IF(ISNUMBER(IF(D_I="SI",Datos!L17,Datos!L17+Datos!AF17)),IF(D_I="SI",Datos!L17,Datos!L17+Datos!AF17)," - ")</f>
        <v>115</v>
      </c>
      <c r="I17" s="1044" t="str">
        <f>IF(ISNUMBER(Datos!AS17/Datos!BM17),Datos!AS17/Datos!BM17," - ")</f>
        <v xml:space="preserve"> - </v>
      </c>
      <c r="J17" s="1045" t="str">
        <f>IF(ISNUMBER((Datos!BY17+Datos!BZ17)/Datos!CN17),(Datos!BY17+Datos!BZ17)/Datos!CN17," - ")</f>
        <v xml:space="preserve"> - </v>
      </c>
      <c r="K17" s="230">
        <f t="shared" si="3"/>
        <v>4.5454545454545456E-2</v>
      </c>
      <c r="L17" s="1025">
        <f>IF(ISNUMBER(NºAsuntos!I17/NºAsuntos!G17),(NºAsuntos!I17/NºAsuntos!G17)*11," - ")</f>
        <v>12.777777777777777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4791</v>
      </c>
      <c r="D18" s="1049">
        <f>SUBTOTAL(9,D15:D17)</f>
        <v>5294</v>
      </c>
      <c r="E18" s="1050">
        <f>SUBTOTAL(9,E15:E17)</f>
        <v>1086</v>
      </c>
      <c r="F18" s="1050">
        <f>SUBTOTAL(9,F15:F17)</f>
        <v>1148</v>
      </c>
      <c r="G18" s="1052" t="str">
        <f ca="1">INDIRECT(CONCATENATE("G",ROW()-1))</f>
        <v>37</v>
      </c>
      <c r="H18" s="1053">
        <f ca="1">SUMIF(G$14:G17,G18,H$14:H17)</f>
        <v>115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4856</v>
      </c>
      <c r="D19" s="1071">
        <f>SUBTOTAL(9,D9:D18)</f>
        <v>5427</v>
      </c>
      <c r="E19" s="1072">
        <f>SUBTOTAL(9,E9:E18)</f>
        <v>1088</v>
      </c>
      <c r="F19" s="1072">
        <f>SUBTOTAL(9,F9:F18)</f>
        <v>1151</v>
      </c>
      <c r="G19" s="1073"/>
      <c r="H19" s="1074">
        <f ca="1">SUMIF(B9:B18,"TOTAL",H9:H18)</f>
        <v>115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Jb+W45kC8IjAdcfvexlHSanb4DTgcQhg/saNrsKpMalISZUTf2dgqIUbaiJE9/pCgdTkl5Hcmak1jt205/gfA==" saltValue="BJ24LUKVDfo8SteNo2dj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DQlyu1poNuKBREr3EGllR/mAKJ8kjy0E9aVMysmUmdNuqs4T6CFk7xQ1QwsVOBwyVZIZ3hnfGXWYew7+EgO/A==" saltValue="QyihyURLP/m/TcWcoX1+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133</v>
      </c>
      <c r="J10" s="181">
        <v>2</v>
      </c>
      <c r="K10" s="181">
        <v>3</v>
      </c>
      <c r="L10" s="181">
        <v>64</v>
      </c>
      <c r="M10" s="181">
        <v>3</v>
      </c>
      <c r="N10" s="181">
        <v>0</v>
      </c>
      <c r="O10" s="181">
        <v>0</v>
      </c>
      <c r="P10" s="181">
        <v>3</v>
      </c>
      <c r="Q10" s="181">
        <v>6</v>
      </c>
      <c r="R10" s="181">
        <v>8</v>
      </c>
      <c r="S10" s="181">
        <v>136</v>
      </c>
      <c r="T10" s="181">
        <v>1</v>
      </c>
      <c r="U10" s="181">
        <v>3</v>
      </c>
      <c r="V10" s="181">
        <v>134</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136</v>
      </c>
      <c r="AZ10" s="129">
        <f t="shared" si="0"/>
        <v>1</v>
      </c>
      <c r="BA10" s="129">
        <f t="shared" si="0"/>
        <v>3</v>
      </c>
      <c r="BB10" s="129">
        <f t="shared" si="0"/>
        <v>134</v>
      </c>
      <c r="BC10" s="125">
        <f t="shared" si="0"/>
        <v>3</v>
      </c>
      <c r="BD10" s="126">
        <f>IF(ISNUMBER(BA10/AZ10),BA10/AZ10," - ")</f>
        <v>3</v>
      </c>
      <c r="BE10" s="127">
        <f>IF(ISNUMBER(BB10/BA10),BB10/BA10, " - ")</f>
        <v>44.666666666666664</v>
      </c>
      <c r="BF10" s="127">
        <f>IF(ISNUMBER(BC10/BA10),BC10/BA10, " - ")</f>
        <v>1</v>
      </c>
      <c r="BG10" s="196">
        <f>IF(ISNUMBER((AY10+AZ10)/BA10),(AY10+AZ10)/BA10," - ")</f>
        <v>45.666666666666664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5339</v>
      </c>
      <c r="J12" s="183">
        <v>923</v>
      </c>
      <c r="K12" s="183">
        <v>565</v>
      </c>
      <c r="L12" s="183">
        <v>6207</v>
      </c>
      <c r="M12" s="183">
        <v>134</v>
      </c>
      <c r="N12" s="183">
        <v>209</v>
      </c>
      <c r="O12" s="181">
        <v>391</v>
      </c>
      <c r="P12" s="183">
        <v>80</v>
      </c>
      <c r="Q12" s="183">
        <v>76</v>
      </c>
      <c r="R12" s="183">
        <v>4575</v>
      </c>
      <c r="S12" s="183">
        <v>3901</v>
      </c>
      <c r="T12" s="183">
        <v>612</v>
      </c>
      <c r="U12" s="183">
        <v>541</v>
      </c>
      <c r="V12" s="183">
        <v>3972</v>
      </c>
      <c r="W12" s="183">
        <v>124</v>
      </c>
      <c r="X12" s="189">
        <v>266</v>
      </c>
      <c r="Y12" s="191">
        <v>176</v>
      </c>
      <c r="Z12" s="181">
        <v>31</v>
      </c>
      <c r="AA12" s="181">
        <v>61</v>
      </c>
      <c r="AB12" s="181">
        <v>135</v>
      </c>
      <c r="AC12" s="183">
        <v>0</v>
      </c>
      <c r="AD12" s="183">
        <v>0</v>
      </c>
      <c r="AE12" s="183">
        <v>0</v>
      </c>
      <c r="AF12" s="189">
        <v>0</v>
      </c>
      <c r="AG12" s="202">
        <v>215</v>
      </c>
      <c r="AH12" s="183">
        <v>17</v>
      </c>
      <c r="AI12" s="183">
        <v>25</v>
      </c>
      <c r="AJ12" s="203">
        <v>195</v>
      </c>
      <c r="AK12" s="182">
        <v>0</v>
      </c>
      <c r="AL12" s="183">
        <v>0</v>
      </c>
      <c r="AM12" s="183">
        <v>0</v>
      </c>
      <c r="AN12" s="189">
        <v>0</v>
      </c>
      <c r="AO12" s="259">
        <v>3</v>
      </c>
      <c r="AP12" s="155">
        <v>3</v>
      </c>
      <c r="AQ12" s="155">
        <v>3</v>
      </c>
      <c r="AR12" s="154">
        <v>3</v>
      </c>
      <c r="AS12" s="340" t="s">
        <v>802</v>
      </c>
      <c r="AT12" s="203"/>
      <c r="AU12" s="202"/>
      <c r="AV12" s="203"/>
      <c r="AW12" s="202"/>
      <c r="AX12" s="203"/>
      <c r="AY12" s="126">
        <f t="shared" si="1"/>
        <v>4116</v>
      </c>
      <c r="AZ12" s="127">
        <f t="shared" si="1"/>
        <v>629</v>
      </c>
      <c r="BA12" s="127">
        <f t="shared" si="1"/>
        <v>566</v>
      </c>
      <c r="BB12" s="127">
        <f t="shared" si="1"/>
        <v>4167</v>
      </c>
      <c r="BC12" s="125">
        <f>IF(ISNUMBER(X12),X12," - ")</f>
        <v>266</v>
      </c>
      <c r="BD12" s="126">
        <f t="shared" si="2"/>
        <v>0.89984101748807632</v>
      </c>
      <c r="BE12" s="127">
        <f t="shared" si="3"/>
        <v>7.362190812720848</v>
      </c>
      <c r="BF12" s="127">
        <f t="shared" si="4"/>
        <v>0.46996466431095407</v>
      </c>
      <c r="BG12" s="196">
        <f t="shared" si="5"/>
        <v>8.3833922261484091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5472</v>
      </c>
      <c r="J13" s="184">
        <f t="shared" si="6"/>
        <v>925</v>
      </c>
      <c r="K13" s="184">
        <f t="shared" si="6"/>
        <v>568</v>
      </c>
      <c r="L13" s="184">
        <f t="shared" si="6"/>
        <v>6271</v>
      </c>
      <c r="M13" s="184">
        <f t="shared" si="6"/>
        <v>137</v>
      </c>
      <c r="N13" s="184">
        <f t="shared" si="6"/>
        <v>209</v>
      </c>
      <c r="O13" s="184">
        <f t="shared" si="6"/>
        <v>391</v>
      </c>
      <c r="P13" s="184">
        <f t="shared" si="6"/>
        <v>83</v>
      </c>
      <c r="Q13" s="184">
        <f t="shared" si="6"/>
        <v>82</v>
      </c>
      <c r="R13" s="184">
        <f t="shared" si="6"/>
        <v>4583</v>
      </c>
      <c r="S13" s="184">
        <f t="shared" si="6"/>
        <v>4037</v>
      </c>
      <c r="T13" s="184">
        <f t="shared" si="6"/>
        <v>613</v>
      </c>
      <c r="U13" s="184">
        <f t="shared" si="6"/>
        <v>544</v>
      </c>
      <c r="V13" s="184">
        <f t="shared" si="6"/>
        <v>4106</v>
      </c>
      <c r="W13" s="184">
        <f t="shared" si="6"/>
        <v>127</v>
      </c>
      <c r="X13" s="184">
        <f t="shared" si="6"/>
        <v>266</v>
      </c>
      <c r="Y13" s="184">
        <f t="shared" si="6"/>
        <v>176</v>
      </c>
      <c r="Z13" s="184">
        <f t="shared" si="6"/>
        <v>31</v>
      </c>
      <c r="AA13" s="184">
        <f t="shared" si="6"/>
        <v>61</v>
      </c>
      <c r="AB13" s="184">
        <f t="shared" si="6"/>
        <v>135</v>
      </c>
      <c r="AC13" s="184">
        <f t="shared" si="6"/>
        <v>0</v>
      </c>
      <c r="AD13" s="184">
        <f t="shared" si="6"/>
        <v>0</v>
      </c>
      <c r="AE13" s="184">
        <f t="shared" si="6"/>
        <v>0</v>
      </c>
      <c r="AF13" s="184">
        <f>SUBTOTAL(9,AF9:AF12)</f>
        <v>0</v>
      </c>
      <c r="AG13" s="184">
        <f t="shared" ref="AG13:AT13" si="7">SUBTOTAL(9,AG8:AG12)</f>
        <v>215</v>
      </c>
      <c r="AH13" s="184">
        <f t="shared" si="7"/>
        <v>17</v>
      </c>
      <c r="AI13" s="184">
        <f t="shared" si="7"/>
        <v>25</v>
      </c>
      <c r="AJ13" s="184">
        <f t="shared" si="7"/>
        <v>195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4252</v>
      </c>
      <c r="AZ13" s="184">
        <f>SUBTOTAL(9,AZ8:AZ12)</f>
        <v>630</v>
      </c>
      <c r="BA13" s="184">
        <f>SUBTOTAL(9,BA8:BA12)</f>
        <v>569</v>
      </c>
      <c r="BB13" s="184">
        <f>SUBTOTAL(9,BB8:BB12)</f>
        <v>4301</v>
      </c>
      <c r="BC13" s="184">
        <f>SUBTOTAL(9,BC8:BC12)</f>
        <v>269</v>
      </c>
      <c r="BD13" s="205">
        <f>IF(ISNUMBER(BA13/AZ13),BA13/AZ13," - ")</f>
        <v>0.90317460317460319</v>
      </c>
      <c r="BE13" s="206">
        <f>IF(ISNUMBER(BB13/BA13),BB13/BA13, " - ")</f>
        <v>7.5588752196836557</v>
      </c>
      <c r="BF13" s="206">
        <f>IF(ISNUMBER(BC13/BA13),BC13/BA13, " - ")</f>
        <v>0.47275922671353249</v>
      </c>
      <c r="BG13" s="207">
        <f>IF(ISNUMBER((AY13+AZ13)/BA13),(AY13+AZ13)/BA13," - ")</f>
        <v>8.5799648506151147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5018</v>
      </c>
      <c r="J16" s="183">
        <v>982</v>
      </c>
      <c r="K16" s="183">
        <v>1049</v>
      </c>
      <c r="L16" s="183">
        <v>4614</v>
      </c>
      <c r="M16" s="183">
        <v>114</v>
      </c>
      <c r="N16" s="183">
        <v>745</v>
      </c>
      <c r="O16" s="181">
        <v>6</v>
      </c>
      <c r="P16" s="183">
        <v>23</v>
      </c>
      <c r="Q16" s="183">
        <v>23</v>
      </c>
      <c r="R16" s="183">
        <v>177</v>
      </c>
      <c r="S16" s="183">
        <v>4414</v>
      </c>
      <c r="T16" s="183">
        <v>1128</v>
      </c>
      <c r="U16" s="183">
        <v>996</v>
      </c>
      <c r="V16" s="183">
        <v>4548</v>
      </c>
      <c r="W16" s="183">
        <v>84</v>
      </c>
      <c r="X16" s="189">
        <v>723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4414</v>
      </c>
      <c r="AZ16" s="127">
        <f t="shared" si="9"/>
        <v>1128</v>
      </c>
      <c r="BA16" s="127">
        <f t="shared" si="9"/>
        <v>996</v>
      </c>
      <c r="BB16" s="127">
        <f t="shared" si="9"/>
        <v>4548</v>
      </c>
      <c r="BC16" s="125">
        <f>IF(ISNUMBER(W16),W16," - ")</f>
        <v>84</v>
      </c>
      <c r="BD16" s="126">
        <f t="shared" ref="BD16" si="11">IF(ISNUMBER(BA16/AZ16),BA16/AZ16," - ")</f>
        <v>0.88297872340425532</v>
      </c>
      <c r="BE16" s="127">
        <f t="shared" ref="BE16" si="12">IF(ISNUMBER(BB16/BA16),BB16/BA16, " - ")</f>
        <v>4.5662650602409638</v>
      </c>
      <c r="BF16" s="127">
        <f t="shared" ref="BF16" si="13">IF(ISNUMBER(BC16/BA16),BC16/BA16, " - ")</f>
        <v>8.4337349397590355E-2</v>
      </c>
      <c r="BG16" s="196">
        <f t="shared" si="10"/>
        <v>5.5642570281124497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276</v>
      </c>
      <c r="J17" s="183">
        <v>104</v>
      </c>
      <c r="K17" s="183">
        <v>99</v>
      </c>
      <c r="L17" s="183">
        <v>115</v>
      </c>
      <c r="M17" s="183">
        <v>6</v>
      </c>
      <c r="N17" s="183">
        <v>70</v>
      </c>
      <c r="O17" s="183">
        <v>1</v>
      </c>
      <c r="P17" s="183">
        <v>1</v>
      </c>
      <c r="Q17" s="183">
        <v>1</v>
      </c>
      <c r="R17" s="183">
        <v>0</v>
      </c>
      <c r="S17" s="183">
        <v>102</v>
      </c>
      <c r="T17" s="183">
        <v>85</v>
      </c>
      <c r="U17" s="183">
        <v>69</v>
      </c>
      <c r="V17" s="183">
        <v>118</v>
      </c>
      <c r="W17" s="183">
        <v>4</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102</v>
      </c>
      <c r="AZ17" s="129">
        <f t="shared" si="14"/>
        <v>85</v>
      </c>
      <c r="BA17" s="129">
        <f t="shared" si="14"/>
        <v>69</v>
      </c>
      <c r="BB17" s="129">
        <f t="shared" si="14"/>
        <v>118</v>
      </c>
      <c r="BC17" s="125">
        <f>IF(ISNUMBER(W17),W17," - ")</f>
        <v>4</v>
      </c>
      <c r="BD17" s="126">
        <f>IF(ISNUMBER(BA17/AZ17),BA17/AZ17," - ")</f>
        <v>0.81176470588235294</v>
      </c>
      <c r="BE17" s="127">
        <f>IF(ISNUMBER(BB17/BA17),BB17/BA17, " - ")</f>
        <v>1.7101449275362319</v>
      </c>
      <c r="BF17" s="127">
        <f>IF(ISNUMBER(BC17/BA17),BC17/BA17, " - ")</f>
        <v>5.7971014492753624E-2</v>
      </c>
      <c r="BG17" s="196">
        <f>IF(ISNUMBER((AY17+AZ17)/BA17),(AY17+AZ17)/BA17," - ")</f>
        <v>2.7101449275362319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5294</v>
      </c>
      <c r="J18" s="184">
        <f t="shared" si="15"/>
        <v>1086</v>
      </c>
      <c r="K18" s="184">
        <f t="shared" si="15"/>
        <v>1148</v>
      </c>
      <c r="L18" s="184">
        <f t="shared" si="15"/>
        <v>4729</v>
      </c>
      <c r="M18" s="184">
        <f t="shared" si="15"/>
        <v>120</v>
      </c>
      <c r="N18" s="184">
        <f t="shared" si="15"/>
        <v>815</v>
      </c>
      <c r="O18" s="184">
        <f t="shared" si="15"/>
        <v>7</v>
      </c>
      <c r="P18" s="184">
        <f t="shared" si="15"/>
        <v>24</v>
      </c>
      <c r="Q18" s="184">
        <f t="shared" si="15"/>
        <v>24</v>
      </c>
      <c r="R18" s="184">
        <f t="shared" si="15"/>
        <v>177</v>
      </c>
      <c r="S18" s="184">
        <f t="shared" si="15"/>
        <v>4516</v>
      </c>
      <c r="T18" s="184">
        <f t="shared" si="15"/>
        <v>1213</v>
      </c>
      <c r="U18" s="184">
        <f t="shared" si="15"/>
        <v>1065</v>
      </c>
      <c r="V18" s="184">
        <f t="shared" si="15"/>
        <v>4666</v>
      </c>
      <c r="W18" s="184">
        <f t="shared" si="15"/>
        <v>88</v>
      </c>
      <c r="X18" s="184">
        <f t="shared" si="15"/>
        <v>785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4516</v>
      </c>
      <c r="AZ18" s="184">
        <f>SUBTOTAL(9,AZ14:AZ17)</f>
        <v>1213</v>
      </c>
      <c r="BA18" s="184">
        <f>SUBTOTAL(9,BA14:BA17)</f>
        <v>1065</v>
      </c>
      <c r="BB18" s="184">
        <f>SUBTOTAL(9,BB14:BB17)</f>
        <v>4666</v>
      </c>
      <c r="BC18" s="184">
        <f>SUBTOTAL(9,BC14:BC17)</f>
        <v>88</v>
      </c>
      <c r="BD18" s="205">
        <f>IF(ISNUMBER(BA18/AZ18),BA18/AZ18," - ")</f>
        <v>0.87798845836768347</v>
      </c>
      <c r="BE18" s="206">
        <f>IF(ISNUMBER(BB18/BA18),BB18/BA18, " - ")</f>
        <v>4.3812206572769954</v>
      </c>
      <c r="BF18" s="206">
        <f>IF(ISNUMBER(BC18/BA18),BC18/BA18, " - ")</f>
        <v>8.2629107981220654E-2</v>
      </c>
      <c r="BG18" s="207">
        <f>IF(ISNUMBER((AY18+AZ18)/BA18),(AY18+AZ18)/BA18," - ")</f>
        <v>5.3793427230046946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10766</v>
      </c>
      <c r="J19" s="134">
        <f t="shared" si="18"/>
        <v>2011</v>
      </c>
      <c r="K19" s="134">
        <f t="shared" si="18"/>
        <v>1716</v>
      </c>
      <c r="L19" s="134">
        <f t="shared" si="18"/>
        <v>11000</v>
      </c>
      <c r="M19" s="134">
        <f t="shared" si="18"/>
        <v>257</v>
      </c>
      <c r="N19" s="134">
        <f t="shared" si="18"/>
        <v>1024</v>
      </c>
      <c r="O19" s="134">
        <f t="shared" si="18"/>
        <v>398</v>
      </c>
      <c r="P19" s="134">
        <f t="shared" si="18"/>
        <v>107</v>
      </c>
      <c r="Q19" s="134">
        <f t="shared" si="18"/>
        <v>106</v>
      </c>
      <c r="R19" s="134">
        <f t="shared" si="18"/>
        <v>4760</v>
      </c>
      <c r="S19" s="134">
        <f t="shared" si="18"/>
        <v>8553</v>
      </c>
      <c r="T19" s="134">
        <f t="shared" si="18"/>
        <v>1826</v>
      </c>
      <c r="U19" s="134">
        <f t="shared" si="18"/>
        <v>1609</v>
      </c>
      <c r="V19" s="134">
        <f t="shared" si="18"/>
        <v>8772</v>
      </c>
      <c r="W19" s="134">
        <f t="shared" si="18"/>
        <v>215</v>
      </c>
      <c r="X19" s="134">
        <f t="shared" si="18"/>
        <v>1051</v>
      </c>
      <c r="Y19" s="134">
        <f t="shared" si="18"/>
        <v>176</v>
      </c>
      <c r="Z19" s="134">
        <f t="shared" si="18"/>
        <v>31</v>
      </c>
      <c r="AA19" s="134">
        <f t="shared" si="18"/>
        <v>61</v>
      </c>
      <c r="AB19" s="134">
        <f t="shared" si="18"/>
        <v>135</v>
      </c>
      <c r="AC19" s="134">
        <f t="shared" si="18"/>
        <v>0</v>
      </c>
      <c r="AD19" s="134">
        <f t="shared" si="18"/>
        <v>0</v>
      </c>
      <c r="AE19" s="134">
        <f t="shared" si="18"/>
        <v>0</v>
      </c>
      <c r="AF19" s="134">
        <f t="shared" si="18"/>
        <v>0</v>
      </c>
      <c r="AG19" s="134">
        <f t="shared" si="18"/>
        <v>215</v>
      </c>
      <c r="AH19" s="134">
        <f t="shared" si="18"/>
        <v>17</v>
      </c>
      <c r="AI19" s="134">
        <f t="shared" si="18"/>
        <v>25</v>
      </c>
      <c r="AJ19" s="134">
        <f t="shared" si="18"/>
        <v>195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8768</v>
      </c>
      <c r="AZ19" s="134">
        <f>SUBTOTAL(9,AZ9:AZ18)</f>
        <v>1843</v>
      </c>
      <c r="BA19" s="134">
        <f>SUBTOTAL(9,BA9:BA18)</f>
        <v>1634</v>
      </c>
      <c r="BB19" s="134">
        <f>SUBTOTAL(9,BB9:BB18)</f>
        <v>8967</v>
      </c>
      <c r="BC19" s="135">
        <f>SUBTOTAL(9,BC9:BC18)</f>
        <v>357</v>
      </c>
      <c r="BD19" s="213">
        <f>IF(ISNUMBER(BA19/AZ19),BA19/AZ19," - ")</f>
        <v>0.88659793814432986</v>
      </c>
      <c r="BE19" s="210">
        <f>IF(ISNUMBER(BB19/BA19),BB19/BA19, " - ")</f>
        <v>5.4877600979192165</v>
      </c>
      <c r="BF19" s="210">
        <f>IF(ISNUMBER(BC19/BA19),BC19/BA19, " - ")</f>
        <v>0.21848225214198286</v>
      </c>
      <c r="BG19" s="135">
        <f>IF(ISNUMBER((AY19+AZ19)/BA19),(AY19+AZ19)/BA19," - ")</f>
        <v>6.4938800489596087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MWah3J9XdNcofBJoRGqhBuIByxmQSMJfaWSTwwQI24b0zEsFHPCWjCs7RvVZjU+lCmCP5K3xD25ekCJ/Bt9A==" saltValue="4JtOBSuHNUXb0e3c6d5w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5cPeVCeEM9L6ZZdGQ6yJ9PEM29zSwp80QhZHm1iZOmmxLwNZBycOCzD8+g2mZpsvr8ZbdH3D+cCYJ5s/SpMkA==" saltValue="DBvaQxBdXS4MhylTl9Fa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65</v>
      </c>
      <c r="G10" s="333">
        <f>IF(ISNUMBER(Datos!I10),Datos!I10," - ")</f>
        <v>133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6</v>
      </c>
      <c r="AD10" s="334"/>
      <c r="AE10" s="484"/>
      <c r="AF10" s="332">
        <f>IF(ISNUMBER(Datos!L10),Datos!L10,"-")</f>
        <v>64</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-0.27272727272727271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135</v>
      </c>
      <c r="AI12" s="334" t="str">
        <f>IF(ISNUMBER(Datos!CD12),Datos!CD12,"-")</f>
        <v>-</v>
      </c>
      <c r="AJ12" s="334" t="str">
        <f>IF(ISNUMBER(Datos!EN12),Datos!EN12," - ")</f>
        <v xml:space="preserve"> - </v>
      </c>
      <c r="AK12" s="334"/>
      <c r="AL12" s="479"/>
      <c r="AM12" s="335">
        <f>IF(ISNUMBER(Datos!R12),Datos!R12," - ")</f>
        <v>4575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0.65618448637316562</v>
      </c>
      <c r="BH12" s="260">
        <f>IF(ISNUMBER(((IF(J_V="SI",Datos!L12/Datos!K12,(Datos!L12+Datos!AB12)/(Datos!K12+Datos!AA12)))*11)/factor_trimestre),((IF(J_V="SI",Datos!L12/Datos!K12,(Datos!L12+Datos!AB12)/(Datos!K12+Datos!AA12)))*11)/factor_trimestre," - ")</f>
        <v>30.392971246006386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8.7508203894115077E-4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65</v>
      </c>
      <c r="G13" s="898">
        <f t="shared" si="0"/>
        <v>133</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82</v>
      </c>
      <c r="AD13" s="899">
        <f t="shared" si="1"/>
        <v>0</v>
      </c>
      <c r="AE13" s="899">
        <f t="shared" si="1"/>
        <v>0</v>
      </c>
      <c r="AF13" s="899">
        <f t="shared" si="1"/>
        <v>64</v>
      </c>
      <c r="AG13" s="899">
        <f t="shared" si="1"/>
        <v>0</v>
      </c>
      <c r="AH13" s="899">
        <f t="shared" si="1"/>
        <v>135</v>
      </c>
      <c r="AI13" s="899">
        <f t="shared" si="1"/>
        <v>0</v>
      </c>
      <c r="AJ13" s="899">
        <f t="shared" si="1"/>
        <v>0</v>
      </c>
      <c r="AK13" s="899">
        <f t="shared" si="1"/>
        <v>0</v>
      </c>
      <c r="AL13" s="899">
        <f t="shared" si="1"/>
        <v>0</v>
      </c>
      <c r="AM13" s="899">
        <f t="shared" si="1"/>
        <v>4583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v>
      </c>
      <c r="BD13" s="899">
        <f t="shared" si="1"/>
        <v>209</v>
      </c>
      <c r="BE13" s="899">
        <f t="shared" si="1"/>
        <v>0</v>
      </c>
      <c r="BF13" s="899">
        <f t="shared" si="1"/>
        <v>0</v>
      </c>
      <c r="BG13" s="899">
        <f>IF(ISNUMBER(Datos!K13/Datos!J13),Datos!K13/Datos!J13," - ")</f>
        <v>0.614054054054054</v>
      </c>
      <c r="BH13" s="903">
        <f>IF(ISNUMBER(((Datos!L13/Datos!K13)*11)/factor_trimestre),((Datos!L13/Datos!K13)*11)/factor_trimestre," - ")</f>
        <v>33.12147887323944</v>
      </c>
      <c r="BI13" s="899">
        <f>IF(ISNUMBER('Resol  Asuntos'!D13/NºAsuntos!G13),'Resol  Asuntos'!D13/NºAsuntos!G13," - ")</f>
        <v>0.21780604133545309</v>
      </c>
      <c r="BJ13" s="899" t="str">
        <f>IF(ISNUMBER(Datos!CI13/Datos!CJ13),Datos!CI13/Datos!CJ13," - ")</f>
        <v xml:space="preserve"> - </v>
      </c>
      <c r="BK13" s="899">
        <f>SUBTOTAL(9,BK8:BK12)</f>
        <v>0</v>
      </c>
      <c r="BL13" s="899">
        <f>IF(ISNUMBER((I13-AB13+L13)/(F13)),(I13-AB13+L13)/(F13)," - ")</f>
        <v>-4.6153846153846156E-2</v>
      </c>
      <c r="BM13" s="904">
        <f>SUBTOTAL(9,BM9:BM12)</f>
        <v>-0.27185219068833155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4681</v>
      </c>
      <c r="G16" s="598">
        <f>IF(ISNUMBER(IF(D_I="SI",Datos!I16,Datos!I16+Datos!AC16)),IF(D_I="SI",Datos!I16,Datos!I16+Datos!AC16)," - ")</f>
        <v>5018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1049</v>
      </c>
      <c r="AC16" s="226">
        <f>IF(ISNUMBER(Datos!Q16),Datos!Q16," - ")</f>
        <v>23</v>
      </c>
      <c r="AD16" s="334"/>
      <c r="AE16" s="484"/>
      <c r="AF16" s="596">
        <f>IF(ISNUMBER(IF(D_I="SI",Datos!L16,Datos!L16+Datos!AF16)),IF(D_I="SI",Datos!L16,Datos!L16+Datos!AF16)," - ")</f>
        <v>4614</v>
      </c>
      <c r="AG16" s="334"/>
      <c r="AH16" s="334"/>
      <c r="AI16" s="334"/>
      <c r="AJ16" s="334"/>
      <c r="AK16" s="334"/>
      <c r="AL16" s="479"/>
      <c r="AM16" s="335">
        <f>IF(ISNUMBER(Datos!R16),Datos!R16," - ")</f>
        <v>177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745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1.0682281059063137</v>
      </c>
      <c r="BH16" s="260">
        <f>IF(ISNUMBER(((IF(D_I="SI",Datos!L16/Datos!K16,(Datos!L16+Datos!AF16)/(Datos!K16+Datos!AE16)))*11)/factor_trimestre),((IF(D_I="SI",Datos!L16/Datos!K16,(Datos!L16+Datos!AF16)/(Datos!K16+Datos!AE16)))*11)/factor_trimestre," - ")</f>
        <v>13.195424213536702</v>
      </c>
      <c r="BI16" s="243">
        <f>IF(ISNUMBER('Resol  Asuntos'!D16/NºAsuntos!G16),'Resol  Asuntos'!D16/NºAsuntos!G16," - ")</f>
        <v>0.10867492850333652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1</v>
      </c>
      <c r="AD17" s="334"/>
      <c r="AE17" s="484"/>
      <c r="AF17" s="332">
        <f>IF(ISNUMBER(Datos!L17),Datos!L17,"-")</f>
        <v>115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0.95192307692307687</v>
      </c>
      <c r="BH17" s="260">
        <f>IF(ISNUMBER(((IF(D_I="SI",Datos!L17/Datos!K17,(Datos!L17+Datos!AF17)/(Datos!K17+Datos!AE17)))*11)/factor_trimestre),((IF(D_I="SI",Datos!L17/Datos!K17,(Datos!L17+Datos!AF17)/(Datos!K17+Datos!AE17)))*11)/factor_trimestre," - ")</f>
        <v>3.4848484848484849</v>
      </c>
      <c r="BI17" s="243">
        <f>IF(ISNUMBER('Resol  Asuntos'!D17/NºAsuntos!G17),'Resol  Asuntos'!D17/NºAsuntos!G17," - ")</f>
        <v>6.0606060606060608E-2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4681</v>
      </c>
      <c r="G18" s="898">
        <f>SUBTOTAL(9,G15:G17)</f>
        <v>5294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1148</v>
      </c>
      <c r="AC18" s="899">
        <f t="shared" si="4"/>
        <v>24</v>
      </c>
      <c r="AD18" s="899">
        <f t="shared" si="4"/>
        <v>0</v>
      </c>
      <c r="AE18" s="899">
        <f t="shared" si="4"/>
        <v>0</v>
      </c>
      <c r="AF18" s="899">
        <f t="shared" si="4"/>
        <v>4729</v>
      </c>
      <c r="AG18" s="899">
        <f t="shared" si="4"/>
        <v>0</v>
      </c>
      <c r="AH18" s="899">
        <f t="shared" si="4"/>
        <v>0</v>
      </c>
      <c r="AI18" s="899">
        <f t="shared" si="4"/>
        <v>0</v>
      </c>
      <c r="AJ18" s="899">
        <f t="shared" si="4"/>
        <v>0</v>
      </c>
      <c r="AK18" s="899">
        <f t="shared" si="4"/>
        <v>0</v>
      </c>
      <c r="AL18" s="899">
        <f t="shared" si="4"/>
        <v>0</v>
      </c>
      <c r="AM18" s="899">
        <f t="shared" si="4"/>
        <v>177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815</v>
      </c>
      <c r="BE18" s="899">
        <f t="shared" si="4"/>
        <v>0</v>
      </c>
      <c r="BF18" s="899">
        <f t="shared" si="4"/>
        <v>0</v>
      </c>
      <c r="BG18" s="899">
        <f>IF(ISNUMBER(Datos!K18/Datos!J18),Datos!K18/Datos!J18," - ")</f>
        <v>1.0570902394106814</v>
      </c>
      <c r="BH18" s="903">
        <f>IF(ISNUMBER(((Datos!L18/Datos!K18)*11)/factor_trimestre),((Datos!L18/Datos!K18)*11)/factor_trimestre," - ")</f>
        <v>12.35801393728223</v>
      </c>
      <c r="BI18" s="899">
        <f>SUBTOTAL(9,BI15:BI17)</f>
        <v>0.16928098910939712</v>
      </c>
      <c r="BJ18" s="899">
        <f>SUBTOTAL(9,BJ15:BJ17)</f>
        <v>0</v>
      </c>
      <c r="BK18" s="899">
        <f>SUBTOTAL(9,BK15:BK17)</f>
        <v>0</v>
      </c>
      <c r="BL18" s="899">
        <f>IF(ISNUMBER((I18-AB18+L18)/(F18)),(I18-AB18+L18)/(F18)," - ")</f>
        <v>-0.24524674214911343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4746</v>
      </c>
      <c r="G19" s="820">
        <f t="shared" si="6"/>
        <v>5427</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1151</v>
      </c>
      <c r="AC19" s="821">
        <f t="shared" si="7"/>
        <v>106</v>
      </c>
      <c r="AD19" s="821">
        <f t="shared" si="7"/>
        <v>0</v>
      </c>
      <c r="AE19" s="821">
        <f t="shared" si="7"/>
        <v>0</v>
      </c>
      <c r="AF19" s="828">
        <f t="shared" si="7"/>
        <v>4793</v>
      </c>
      <c r="AG19" s="828">
        <f t="shared" si="7"/>
        <v>0</v>
      </c>
      <c r="AH19" s="828">
        <f t="shared" si="7"/>
        <v>135</v>
      </c>
      <c r="AI19" s="828">
        <f t="shared" si="7"/>
        <v>0</v>
      </c>
      <c r="AJ19" s="821">
        <f t="shared" si="7"/>
        <v>0</v>
      </c>
      <c r="AK19" s="828">
        <f t="shared" si="7"/>
        <v>0</v>
      </c>
      <c r="AL19" s="828">
        <f t="shared" si="7"/>
        <v>0</v>
      </c>
      <c r="AM19" s="828">
        <f t="shared" si="7"/>
        <v>4760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257</v>
      </c>
      <c r="BD19" s="820">
        <f t="shared" si="7"/>
        <v>1024</v>
      </c>
      <c r="BE19" s="820">
        <f t="shared" si="7"/>
        <v>0</v>
      </c>
      <c r="BF19" s="830">
        <f t="shared" si="7"/>
        <v>0</v>
      </c>
      <c r="BG19" s="915">
        <f>IF(ISNUMBER(Datos!K19/Datos!J19),Datos!K19/Datos!J19," - ")</f>
        <v>0.8533068125310791</v>
      </c>
      <c r="BH19" s="915">
        <f>IF(ISNUMBER(((Datos!L19/Datos!K19)*11)/factor_trimestre),((Datos!L19/Datos!K19)*11)/factor_trimestre," - ")</f>
        <v>19.23076923076923</v>
      </c>
      <c r="BI19" s="813">
        <f>IF(ISNUMBER(Datos!J19/Datos!I19),Datos!J19/Datos!I19," - ")</f>
        <v>0.18679175181125765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-0.24252001685630004</v>
      </c>
      <c r="BM19" s="889">
        <f>IF(ISNUMBER((Datos!P19-Datos!Q19+R19)/(Datos!R19-Datos!P19+Datos!Q19-R19)),(Datos!P19-Datos!Q19+R19)/(Datos!R19-Datos!P19+Datos!Q19-R19)," - ")</f>
        <v>2.101281781886951E-4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2170.8000000000002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2665.0488425793123</v>
      </c>
      <c r="G21" s="552">
        <f>IF(ISNUMBER(STDEV(G8:G18)),STDEV(G8:G18),"-")</f>
        <v>2727.4736845659941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584.86819027880119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63.456021516217568</v>
      </c>
      <c r="BD21" s="551"/>
      <c r="BE21" s="551">
        <f>IF(ISNUMBER(STDEV(BE8:BE18)),STDEV(BE8:BE18),"-")</f>
        <v>0</v>
      </c>
      <c r="BF21" s="556">
        <f>IF(ISNUMBER(STDEV(BF8:BF18)),STDEV(BF8:BF18),"-")</f>
        <v>0</v>
      </c>
      <c r="BG21" s="775">
        <f>IF(ISNUMBER(STDEV(BG8:BG18)),STDEV(BG8:BG18),"-")</f>
        <v>0.32357752725078931</v>
      </c>
      <c r="BH21" s="776">
        <f>IF(ISNUMBER(STDEV(BH8:BH18)),STDEV(BH8:BH18),"-")</f>
        <v>21.775930430701504</v>
      </c>
      <c r="BI21" s="249">
        <f>IF(ISNUMBER(STDEV(BI8:BI18)),STDEV(BI8:BI18),"-")</f>
        <v>6.878109306049375E-2</v>
      </c>
      <c r="BJ21" s="230" t="str">
        <f>IF(ISNUMBER(BL21/BM21),BL21/BM21," - ")</f>
        <v xml:space="preserve"> - </v>
      </c>
      <c r="BK21" s="575"/>
      <c r="BL21" s="559">
        <f>IF(ISNUMBER(STDEV(BL8:BL18)),STDEV(BL8:BL18),"-")</f>
        <v>0.14077993684432155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WetPxR9lR6r2YcFabRFGr3vkxTOlpLCyVA0KTIt0+Oxk6dfnPyEJrDsoMGxLNe4kka2ztQUoCFiyEkYR6MJ0Q==" saltValue="peYQiHydkEyVKfWXeXHH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65</v>
      </c>
      <c r="G10" s="225">
        <f>IF(ISNUMBER(Datos!I10),Datos!I10," - ")</f>
        <v>133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6</v>
      </c>
      <c r="AA10" s="332">
        <f>IF(ISNUMBER(Datos!L10),Datos!L10,"-")</f>
        <v>64</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-0.27272727272727271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4575</v>
      </c>
      <c r="AF12" s="229" t="str">
        <f>IF(ISNUMBER(Datos!BV12),Datos!BV12," - ")</f>
        <v xml:space="preserve"> - </v>
      </c>
      <c r="AG12" s="225" t="str">
        <f>IF(ISNUMBER(Datos!DV12),Datos!DV12," - ")</f>
        <v xml:space="preserve"> - </v>
      </c>
      <c r="AH12" s="298"/>
      <c r="AI12" s="227"/>
      <c r="AJ12" s="225">
        <f>IF(ISNUMBER(Datos!M12),Datos!M12," - ")</f>
        <v>134</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30.392971246006386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8.7508203894115077E-4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65</v>
      </c>
      <c r="G13" s="898">
        <f>SUBTOTAL(9,G8:G12)</f>
        <v>133</v>
      </c>
      <c r="H13" s="908"/>
      <c r="I13" s="898">
        <f t="shared" ref="I13:N13" si="0">SUBTOTAL(9,I8:I12)</f>
        <v>0</v>
      </c>
      <c r="J13" s="867">
        <f t="shared" si="0"/>
        <v>0</v>
      </c>
      <c r="K13" s="908">
        <f t="shared" si="0"/>
        <v>0</v>
      </c>
      <c r="L13" s="908">
        <f t="shared" si="0"/>
        <v>0</v>
      </c>
      <c r="M13" s="908">
        <f t="shared" si="0"/>
        <v>0</v>
      </c>
      <c r="N13" s="908">
        <f t="shared" si="0"/>
        <v>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82</v>
      </c>
      <c r="AA13" s="900">
        <f t="shared" si="2"/>
        <v>64</v>
      </c>
      <c r="AB13" s="900">
        <f t="shared" si="2"/>
        <v>0</v>
      </c>
      <c r="AC13" s="900">
        <f t="shared" si="2"/>
        <v>0</v>
      </c>
      <c r="AD13" s="900">
        <f t="shared" si="2"/>
        <v>0</v>
      </c>
      <c r="AE13" s="900">
        <f t="shared" si="2"/>
        <v>4583</v>
      </c>
      <c r="AF13" s="908">
        <f t="shared" si="2"/>
        <v>0</v>
      </c>
      <c r="AG13" s="908">
        <f t="shared" si="2"/>
        <v>0</v>
      </c>
      <c r="AH13" s="908">
        <f t="shared" si="2"/>
        <v>0</v>
      </c>
      <c r="AI13" s="908">
        <f t="shared" si="2"/>
        <v>0</v>
      </c>
      <c r="AJ13" s="908">
        <f t="shared" si="2"/>
        <v>137</v>
      </c>
      <c r="AK13" s="908">
        <f t="shared" si="2"/>
        <v>209</v>
      </c>
      <c r="AL13" s="908">
        <f t="shared" si="2"/>
        <v>0</v>
      </c>
      <c r="AM13" s="908">
        <f t="shared" si="2"/>
        <v>0</v>
      </c>
      <c r="AN13" s="908">
        <f t="shared" si="2"/>
        <v>0</v>
      </c>
      <c r="AO13" s="904">
        <f>IF(ISNUMBER(((NºAsuntos!I13/NºAsuntos!G13)*11)/factor_trimestre),((NºAsuntos!I13/NºAsuntos!G13)*11)/factor_trimestre," - ")</f>
        <v>30.55325914149444</v>
      </c>
      <c r="AP13" s="910" t="str">
        <f>IF(ISNUMBER(Datos!CI13/Datos!CJ13),Datos!CI13/Datos!CJ13," - ")</f>
        <v xml:space="preserve"> - </v>
      </c>
      <c r="AQ13" s="928">
        <f t="shared" ref="AQ13:AV13" si="3">SUBTOTAL(9,AQ9:AQ12)</f>
        <v>0</v>
      </c>
      <c r="AR13" s="928">
        <f t="shared" si="3"/>
        <v>-0.27185219068833155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4681</v>
      </c>
      <c r="G16" s="225">
        <f>IF(ISNUMBER(IF(D_I="SI",Datos!I16,Datos!I16+Datos!AC16)),IF(D_I="SI",Datos!I16,Datos!I16+Datos!AC16)," - ")</f>
        <v>5018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1049</v>
      </c>
      <c r="Z16" s="619">
        <f>IF(ISNUMBER(Datos!Q16),Datos!Q16," - ")</f>
        <v>23</v>
      </c>
      <c r="AA16" s="332">
        <f>IF(ISNUMBER(IF(D_I="SI",Datos!L16,Datos!L16+Datos!AF16)),IF(D_I="SI",Datos!L16,Datos!L16+Datos!AF16)," - ")</f>
        <v>4614</v>
      </c>
      <c r="AB16" s="334"/>
      <c r="AC16" s="334"/>
      <c r="AD16" s="484"/>
      <c r="AE16" s="484">
        <f>IF(ISNUMBER(Datos!R16),Datos!R16," - ")</f>
        <v>177</v>
      </c>
      <c r="AF16" s="229" t="str">
        <f>IF(ISNUMBER(Datos!BV16),Datos!BV16," - ")</f>
        <v xml:space="preserve"> - </v>
      </c>
      <c r="AG16" s="225"/>
      <c r="AH16" s="298"/>
      <c r="AI16" s="227"/>
      <c r="AJ16" s="225">
        <f>IF(ISNUMBER(Datos!M16),Datos!M16," - ")</f>
        <v>114</v>
      </c>
      <c r="AK16" s="229">
        <f>IF(ISNUMBER(Datos!N16),Datos!N16," - ")</f>
        <v>745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13.195424213536702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1</v>
      </c>
      <c r="AA17" s="332">
        <f>IF(ISNUMBER(Datos!L17),Datos!L17,"-")</f>
        <v>115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3.4848484848484849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4681</v>
      </c>
      <c r="G18" s="898">
        <f>SUBTOTAL(9,G15:G17)</f>
        <v>5294</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1148</v>
      </c>
      <c r="Z18" s="932">
        <f t="shared" si="5"/>
        <v>24</v>
      </c>
      <c r="AA18" s="932">
        <f t="shared" si="5"/>
        <v>4729</v>
      </c>
      <c r="AB18" s="932">
        <f t="shared" si="5"/>
        <v>0</v>
      </c>
      <c r="AC18" s="932">
        <f t="shared" si="5"/>
        <v>0</v>
      </c>
      <c r="AD18" s="932">
        <f t="shared" si="5"/>
        <v>0</v>
      </c>
      <c r="AE18" s="932">
        <f t="shared" si="5"/>
        <v>177</v>
      </c>
      <c r="AF18" s="932">
        <f t="shared" si="5"/>
        <v>0</v>
      </c>
      <c r="AG18" s="932">
        <f t="shared" si="5"/>
        <v>0</v>
      </c>
      <c r="AH18" s="932">
        <f t="shared" si="5"/>
        <v>0</v>
      </c>
      <c r="AI18" s="932">
        <f t="shared" si="5"/>
        <v>0</v>
      </c>
      <c r="AJ18" s="932">
        <f t="shared" si="5"/>
        <v>120</v>
      </c>
      <c r="AK18" s="932">
        <f t="shared" si="5"/>
        <v>815</v>
      </c>
      <c r="AL18" s="932">
        <f t="shared" si="5"/>
        <v>0</v>
      </c>
      <c r="AM18" s="932">
        <f t="shared" si="5"/>
        <v>0</v>
      </c>
      <c r="AN18" s="932">
        <f t="shared" si="5"/>
        <v>0</v>
      </c>
      <c r="AO18" s="934">
        <f>IF(ISNUMBER(((NºAsuntos!I18/NºAsuntos!G18)*11)/factor_trimestre),((NºAsuntos!I18/NºAsuntos!G18)*11)/factor_trimestre," - ")</f>
        <v>12.35801393728223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4746</v>
      </c>
      <c r="G19" s="820">
        <f t="shared" si="7"/>
        <v>5427</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1151</v>
      </c>
      <c r="Z19" s="827">
        <f t="shared" si="8"/>
        <v>106</v>
      </c>
      <c r="AA19" s="828">
        <f t="shared" si="8"/>
        <v>4793</v>
      </c>
      <c r="AB19" s="828">
        <f t="shared" si="8"/>
        <v>0</v>
      </c>
      <c r="AC19" s="828">
        <f t="shared" si="8"/>
        <v>0</v>
      </c>
      <c r="AD19" s="829">
        <f t="shared" si="8"/>
        <v>0</v>
      </c>
      <c r="AE19" s="829">
        <f t="shared" si="8"/>
        <v>4760</v>
      </c>
      <c r="AF19" s="830">
        <f t="shared" si="8"/>
        <v>0</v>
      </c>
      <c r="AG19" s="831">
        <f t="shared" si="8"/>
        <v>0</v>
      </c>
      <c r="AH19" s="832">
        <f t="shared" si="8"/>
        <v>0</v>
      </c>
      <c r="AI19" s="830">
        <f t="shared" si="8"/>
        <v>0</v>
      </c>
      <c r="AJ19" s="820">
        <f t="shared" si="8"/>
        <v>257</v>
      </c>
      <c r="AK19" s="820">
        <f t="shared" si="8"/>
        <v>1024</v>
      </c>
      <c r="AL19" s="820">
        <f t="shared" si="8"/>
        <v>0</v>
      </c>
      <c r="AM19" s="833">
        <f t="shared" si="8"/>
        <v>0</v>
      </c>
      <c r="AN19" s="823">
        <f>IF(ISNUMBER(Datos!K19/Datos!J19),Datos!K19/Datos!J19," - ")</f>
        <v>0.8533068125310791</v>
      </c>
      <c r="AO19" s="823">
        <f>IF(ISNUMBER(FIND("06",Criterios!A8,1)),(IF(ISNUMBER(((Datos!R19/Datos!Q19)*11)/factor_trimestre),((Datos!R19/Datos!Q19)*11)/factor_trimestre," - ")),(IF(ISNUMBER(((Datos!L19/Datos!K19)*11)/factor_trimestre),((Datos!L19/Datos!K19)*11)/factor_trimestre," - ")))</f>
        <v>19.23076923076923</v>
      </c>
      <c r="AP19" s="834" t="str">
        <f>IF(ISNUMBER(Datos!CI19/Datos!CJ19),Datos!CI19/Datos!CJ19," - ")</f>
        <v xml:space="preserve"> - </v>
      </c>
      <c r="AQ19" s="834">
        <f>IF(OR(ISNUMBER(FIND("01",Criterios!A8,1)),ISNUMBER(FIND("02",Criterios!A8,1)),ISNUMBER(FIND("03",Criterios!A8,1)),ISNUMBER(FIND("04",Criterios!A8,1))),(J19-Y19+K19)/(F19-K19),(I19-Y19+K19)/(F19-K19))</f>
        <v>-0.24252001685630004</v>
      </c>
      <c r="AR19" s="834">
        <f>IF(ISNUMBER((Datos!P19-Datos!Q19+O19)/(Datos!R19-Datos!P19+Datos!Q19-O19)),(Datos!P19-Datos!Q19+O19)/(Datos!R19-Datos!P19+Datos!Q19-O19)," - ")</f>
        <v>2.101281781886951E-4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2170.8000000000002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2665.0488425793123</v>
      </c>
      <c r="G21" s="552">
        <f>IF(ISNUMBER(STDEV(G8:G18)),STDEV(G8:G18),"-")</f>
        <v>2727.4736845659941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63.456021516217568</v>
      </c>
      <c r="AK21" s="252"/>
      <c r="AL21" s="252">
        <f>IF(ISNUMBER(STDEV(AL8:AL18)),STDEV(AL8:AL18),"-")</f>
        <v>0</v>
      </c>
      <c r="AM21" s="254">
        <f>IF(ISNUMBER(STDEV(AM8:AM18)),STDEV(AM8:AM18),"-")</f>
        <v>0</v>
      </c>
      <c r="AN21" s="539">
        <f>IF(ISNUMBER(STDEV(AN8:AN18)),STDEV(AN8:AN18),"-")</f>
        <v>0</v>
      </c>
      <c r="AO21" s="540">
        <f>IF(ISNUMBER(STDEV(AO8:AO18)),STDEV(AO8:AO18),"-")</f>
        <v>21.634908500521814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6Dx1AD/ZaRAWg5RmgFMML0hjzvMmmXB8Ar2n29nduVGBCpD4ZLY5EwwPagwCfpjkDqI4hrmMf5onPOOxbWLDw==" saltValue="Nvc2Cejp8d0jiUyAjenx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TmGX5I3b8CIfdpNDV+JR7JwL4htVavxFUSCtBTeE6B8WjqLtrmRnxGPZVUYovI77AxT63wVggaIib6F1KpzLQ==" saltValue="1hIN6lRxtYrf2LZTgE5d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4WZn165o18j4OWaNKCrI1SUANcCyf+76q/XoX48FuC16Z5qSyJxoLGvlzaKZGKIdfomNsfEC5ipIkiGCqC+Tw==" saltValue="ZME5A7YyV61wFijgFikK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0.21780604133545309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0.15401212881169635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KWeyDFITxJad7r/tXTvZgMy0o5jR3+DMt+qfnx4EQnh8oom4RiE0oJebJV2845khPI9wrJB1KB7ZgNNylrAbQ==" saltValue="fCCYH/K3WkE3D1lwV/sJ0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baEtIR653lRsmkgvzjIrunHB3dEZ7il5WwTp0mxX61I/zEEnadoJHvyw937fEJGHmQtLu5GYEAN7fof8E0VEg==" saltValue="cwY0/xY7crs/zCsNcrUk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LORA DEL RIO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133</v>
      </c>
      <c r="D10" s="404">
        <f>IF(ISNUMBER(C10/Datos!BH10),C10/Datos!BH10," - ")</f>
        <v>133</v>
      </c>
      <c r="E10" s="403">
        <f>IF(ISNUMBER(Datos!J10),Datos!J10," - ")</f>
        <v>2</v>
      </c>
      <c r="F10" s="404">
        <f>IF(ISNUMBER(E10/B10),E10/B10," - ")</f>
        <v>2</v>
      </c>
      <c r="G10" s="403">
        <f>IF(ISNUMBER(Datos!K10),Datos!K10," - ")</f>
        <v>3</v>
      </c>
      <c r="H10" s="404">
        <f>IF(ISNUMBER(G10/B10),G10/B10," - ")</f>
        <v>3</v>
      </c>
      <c r="I10" s="403">
        <f>IF(ISNUMBER(Datos!L10),Datos!L10," - ")</f>
        <v>64</v>
      </c>
      <c r="J10" s="404">
        <f>IF(ISNUMBER(I10/B10),I10/B10," - ")</f>
        <v>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5515</v>
      </c>
      <c r="D12" s="404">
        <f>IF(ISNUMBER(C12/Datos!BH12),C12/Datos!BH12," - ")</f>
        <v>1838.3333333333333</v>
      </c>
      <c r="E12" s="403">
        <f>IF(ISNUMBER(IF(J_V="SI",Datos!J12,Datos!J12+Datos!Z12)),IF(J_V="SI",Datos!J12,Datos!J12+Datos!Z12)," - ")</f>
        <v>954</v>
      </c>
      <c r="F12" s="404">
        <f>IF(ISNUMBER(E12/B12),E12/B12," - ")</f>
        <v>318</v>
      </c>
      <c r="G12" s="403">
        <f>IF(ISNUMBER(IF(J_V="SI",Datos!K12,Datos!K12+Datos!AA12)),IF(J_V="SI",Datos!K12,Datos!K12+Datos!AA12)," - ")</f>
        <v>626</v>
      </c>
      <c r="H12" s="404">
        <f>IF(ISNUMBER(G12/B12),G12/B12," - ")</f>
        <v>208.66666666666666</v>
      </c>
      <c r="I12" s="403">
        <f>IF(ISNUMBER(IF(J_V="SI",Datos!L12,Datos!L12+Datos!AB12)),IF(J_V="SI",Datos!L12,Datos!L12+Datos!AB12)," - ")</f>
        <v>6342</v>
      </c>
      <c r="J12" s="404">
        <f>IF(ISNUMBER(I12/B12),I12/B12," - ")</f>
        <v>2114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5648</v>
      </c>
      <c r="D13" s="850" t="str">
        <f>IF(ISNUMBER(C13/Datos!BI13),C13/Datos!BI13," - ")</f>
        <v xml:space="preserve"> - </v>
      </c>
      <c r="E13" s="849">
        <f>SUBTOTAL(9,E8:E12)</f>
        <v>956</v>
      </c>
      <c r="F13" s="850">
        <f>IF(ISNUMBER(E13/B13),E13/B13," - ")</f>
        <v>318.66666666666669</v>
      </c>
      <c r="G13" s="849">
        <f>SUBTOTAL(9,G8:G12)</f>
        <v>629</v>
      </c>
      <c r="H13" s="850">
        <f>IF(ISNUMBER(G13/B13),G13/B13," - ")</f>
        <v>209.66666666666666</v>
      </c>
      <c r="I13" s="849">
        <f>SUBTOTAL(9,I8:I12)</f>
        <v>6406</v>
      </c>
      <c r="J13" s="850">
        <f>IF(ISNUMBER(I13/B13),I13/B13," - ")</f>
        <v>2135.3333333333335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5018</v>
      </c>
      <c r="D16" s="404">
        <f>IF(ISNUMBER(C16/Datos!BH16),C16/Datos!BH16," - ")</f>
        <v>1672.6666666666667</v>
      </c>
      <c r="E16" s="403">
        <f>IF(ISNUMBER(IF(D_I="SI",Datos!J16,Datos!J16+Datos!AD16)),IF(D_I="SI",Datos!J16,Datos!J16+Datos!AD16)," - ")</f>
        <v>982</v>
      </c>
      <c r="F16" s="404">
        <f>IF(ISNUMBER(E16/B16),E16/B16," - ")</f>
        <v>327.33333333333331</v>
      </c>
      <c r="G16" s="403">
        <f>IF(ISNUMBER(IF(D_I="SI",Datos!K16,Datos!K16+Datos!AE16)),IF(D_I="SI",Datos!K16,Datos!K16+Datos!AE16)," - ")</f>
        <v>1049</v>
      </c>
      <c r="H16" s="404">
        <f>IF(ISNUMBER(G16/B16),G16/B16," - ")</f>
        <v>349.66666666666669</v>
      </c>
      <c r="I16" s="403">
        <f>IF(ISNUMBER(IF(D_I="SI",Datos!L16,Datos!L16+Datos!AF16)),IF(D_I="SI",Datos!L16,Datos!L16+Datos!AF16)," - ")</f>
        <v>4614</v>
      </c>
      <c r="J16" s="404">
        <f>IF(ISNUMBER(I16/B16),I16/B16," - ")</f>
        <v>1538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276</v>
      </c>
      <c r="D17" s="404">
        <f>IF(ISNUMBER(C17/Datos!BH17),C17/Datos!BH17," - ")</f>
        <v>276</v>
      </c>
      <c r="E17" s="403">
        <f>IF(ISNUMBER(IF(D_I="SI",Datos!J17,Datos!J17+Datos!AD17)),IF(D_I="SI",Datos!J17,Datos!J17+Datos!AD17)," - ")</f>
        <v>104</v>
      </c>
      <c r="F17" s="404">
        <f>IF(ISNUMBER(E17/B17),E17/B17," - ")</f>
        <v>104</v>
      </c>
      <c r="G17" s="403">
        <f>IF(ISNUMBER(IF(D_I="SI",Datos!K17,Datos!K17+Datos!AE17)),IF(D_I="SI",Datos!K17,Datos!K17+Datos!AE17)," - ")</f>
        <v>99</v>
      </c>
      <c r="H17" s="404">
        <f>IF(ISNUMBER(G17/B17),G17/B17," - ")</f>
        <v>99</v>
      </c>
      <c r="I17" s="403">
        <f>IF(ISNUMBER(IF(D_I="SI",Datos!L17,Datos!L17+Datos!AF17)),IF(D_I="SI",Datos!L17,Datos!L17+Datos!AF17)," - ")</f>
        <v>115</v>
      </c>
      <c r="J17" s="404">
        <f>IF(ISNUMBER(I17/B17),I17/B17," - ")</f>
        <v>115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5294</v>
      </c>
      <c r="D18" s="850" t="str">
        <f>IF(ISNUMBER(C18/Datos!BI18),C18/Datos!BI18," - ")</f>
        <v xml:space="preserve"> - </v>
      </c>
      <c r="E18" s="849">
        <f>SUBTOTAL(9,E14:E17)</f>
        <v>1086</v>
      </c>
      <c r="F18" s="850">
        <f>IF(ISNUMBER(E18/B18),E18/B18," - ")</f>
        <v>362</v>
      </c>
      <c r="G18" s="849">
        <f>SUBTOTAL(9,G14:G17)</f>
        <v>1148</v>
      </c>
      <c r="H18" s="850">
        <f>IF(ISNUMBER(G18/B18),G18/B18," - ")</f>
        <v>382.66666666666669</v>
      </c>
      <c r="I18" s="849">
        <f>SUBTOTAL(9,I14:I17)</f>
        <v>4729</v>
      </c>
      <c r="J18" s="850">
        <f>IF(ISNUMBER(I18/B18),I18/B18," - ")</f>
        <v>1576.3333333333333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10942</v>
      </c>
      <c r="D19" s="795" t="str">
        <f>IF(ISNUMBER(C19/Datos!BI19),C19/Datos!BI19," - ")</f>
        <v xml:space="preserve"> - </v>
      </c>
      <c r="E19" s="794">
        <f>SUBTOTAL(9,E9:E18)</f>
        <v>2042</v>
      </c>
      <c r="F19" s="795">
        <f>IF(ISNUMBER(E19/B19),E19/B19," - ")</f>
        <v>680.66666666666663</v>
      </c>
      <c r="G19" s="794">
        <f>SUBTOTAL(9,G9:G18)</f>
        <v>1777</v>
      </c>
      <c r="H19" s="795">
        <f>IF(ISNUMBER(G19/B19),G19/B19," - ")</f>
        <v>592.33333333333337</v>
      </c>
      <c r="I19" s="794">
        <f>SUBTOTAL(9,I9:I18)</f>
        <v>11135</v>
      </c>
      <c r="J19" s="795">
        <f>IF(ISNUMBER(I19/B19),I19/B19," - ")</f>
        <v>3711.6666666666665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8a/hFMpB94ChFFaEYp+ZeRhLeJ07WP1sSwDOJ4/oEN7DruriOXednp2uf5xGWt3k8immQr8nUXe+sa+OYqsnUA==" saltValue="w29BiOGoOpd2+5EGLoGI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65</v>
      </c>
      <c r="G10" s="684">
        <f>IF(ISNUMBER(Datos!I10),Datos!I10," - ")</f>
        <v>133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30.392971246006386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8.7508203894115077E-4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65</v>
      </c>
      <c r="G13" s="938">
        <f t="shared" si="0"/>
        <v>133</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76</v>
      </c>
      <c r="AE13" s="939">
        <f t="shared" si="1"/>
        <v>0</v>
      </c>
      <c r="AF13" s="939">
        <f t="shared" si="1"/>
        <v>64</v>
      </c>
      <c r="AG13" s="939">
        <f t="shared" si="1"/>
        <v>0</v>
      </c>
      <c r="AH13" s="939">
        <f t="shared" si="1"/>
        <v>4575</v>
      </c>
      <c r="AI13" s="939">
        <f t="shared" si="1"/>
        <v>0</v>
      </c>
      <c r="AJ13" s="939">
        <f t="shared" si="1"/>
        <v>0</v>
      </c>
      <c r="AK13" s="939">
        <f t="shared" si="1"/>
        <v>0</v>
      </c>
      <c r="AL13" s="939">
        <f t="shared" si="1"/>
        <v>137</v>
      </c>
      <c r="AM13" s="939">
        <f t="shared" si="1"/>
        <v>209</v>
      </c>
      <c r="AN13" s="939">
        <f t="shared" si="1"/>
        <v>0</v>
      </c>
      <c r="AO13" s="939">
        <f t="shared" si="1"/>
        <v>0</v>
      </c>
      <c r="AP13" s="944">
        <f>IF(ISNUMBER(((Datos!L13/Datos!K13)*11)/factor_trimestre),((Datos!L13/Datos!K13)*11)/factor_trimestre," - ")</f>
        <v>33.12147887323944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-4.6153846153846156E-2</v>
      </c>
      <c r="AU13" s="939" t="str">
        <f>IF(ISNUMBER((DatosP!#REF!-DatosP!#REF!+DatosP!#REF!)/(DatosP!#REF!+DatosP!#REF!-DatosP!#REF!-DatosP!#REF!)),(DatosP!#REF!-DatosP!#REF!+DatosP!#REF!)/(DatosP!#REF!+DatosP!#REF!-DatosP!#REF!-DatosP!#REF!)," - ")</f>
        <v xml:space="preserve"> - </v>
      </c>
      <c r="AV13" s="945">
        <f>SUBTOTAL(9,AV9:AV12)</f>
        <v>8.7508203894115077E-4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12.35801393728223</v>
      </c>
      <c r="AQ18" s="944">
        <f>IF(ISNUMBER(((Datos!M18/Datos!L18)*11)/factor_trimestre),((Datos!M18/Datos!L18)*11)/factor_trimestre," - ")</f>
        <v>7.6126030873334749E-2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-3.2769329620903835E-2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65</v>
      </c>
      <c r="G19" s="951">
        <f t="shared" si="4"/>
        <v>133</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76</v>
      </c>
      <c r="AE19" s="957">
        <f t="shared" si="5"/>
        <v>0</v>
      </c>
      <c r="AF19" s="958">
        <f t="shared" si="5"/>
        <v>64</v>
      </c>
      <c r="AG19" s="958">
        <f t="shared" si="5"/>
        <v>0</v>
      </c>
      <c r="AH19" s="958">
        <f t="shared" si="5"/>
        <v>4575</v>
      </c>
      <c r="AI19" s="958">
        <f t="shared" si="5"/>
        <v>0</v>
      </c>
      <c r="AJ19" s="959">
        <f t="shared" si="5"/>
        <v>0</v>
      </c>
      <c r="AK19" s="959">
        <f t="shared" si="5"/>
        <v>0</v>
      </c>
      <c r="AL19" s="951">
        <f t="shared" si="5"/>
        <v>137</v>
      </c>
      <c r="AM19" s="951">
        <f t="shared" si="5"/>
        <v>209</v>
      </c>
      <c r="AN19" s="951">
        <f t="shared" si="5"/>
        <v>0</v>
      </c>
      <c r="AO19" s="951">
        <f t="shared" si="5"/>
        <v>0</v>
      </c>
      <c r="AP19" s="951">
        <f>IF(ISNUMBER(((Datos!L19/Datos!K19)*11)/factor_trimestre),((Datos!L19/Datos!K19)*11)/factor_trimestre," - ")</f>
        <v>19.23076923076923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-4.6153846153846156E-2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2.101281781886951E-4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37.527767497325677</v>
      </c>
      <c r="G21" s="737">
        <f>IF(ISNUMBER(STDEV(G8:G18)),STDEV(G8:G18),"-")</f>
        <v>76.787585802220235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77.384322270944082</v>
      </c>
      <c r="AM21" s="736"/>
      <c r="AN21" s="736">
        <f>IF(ISNUMBER(STDEV(AN8:AN18)),STDEV(AN8:AN18),"-")</f>
        <v>0</v>
      </c>
      <c r="AO21" s="742">
        <f>IF(ISNUMBER(STDEV(AO8:AO18)),STDEV(AO8:AO18),"-")</f>
        <v>0</v>
      </c>
      <c r="AP21" s="779">
        <f>IF(ISNUMBER(STDEV(AP8:AP18)),STDEV(AP8:AP18),"-")</f>
        <v>21.435243736067758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PZVPj0top5fNydIc5r2KN+wJ+pspIcebw8HxC5fPFIChEqJpoLz/IRLubw2XlMja2J5KQPz9Alvh7vB8gmWAw==" saltValue="aLVZDbZuPH9HbZbgc7D75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cKGBrQ5nQJNubQMDEHXIg2dne5h3j5hi//z2TD1cJsXsdOPdJCPHwRkQ6038EtqusXAuPqWdxeeIrUen+bOMg==" saltValue="WqypERzMdS8yogNc/8gs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LORA DEL RIO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134</v>
      </c>
      <c r="E12" s="404">
        <f t="shared" si="0"/>
        <v>44.666666666666664</v>
      </c>
      <c r="F12" s="403">
        <f>IF(ISNUMBER(Datos!N12),Datos!N12," - ")</f>
        <v>209</v>
      </c>
      <c r="G12" s="404">
        <f t="shared" si="1"/>
        <v>69.666666666666671</v>
      </c>
      <c r="H12" s="403">
        <f>IF(ISNUMBER(Datos!O12),Datos!O12," - ")</f>
        <v>391</v>
      </c>
      <c r="I12" s="404">
        <f t="shared" si="2"/>
        <v>130.33333333333334</v>
      </c>
      <c r="BZ12" s="1186">
        <f>Datos!EZ12</f>
        <v>0</v>
      </c>
    </row>
    <row r="13" spans="1:78" ht="14.25" thickTop="1" thickBot="1">
      <c r="A13" s="848" t="str">
        <f>Datos!A13</f>
        <v>TOTAL</v>
      </c>
      <c r="B13" s="849">
        <f>Datos!AP13</f>
        <v>3</v>
      </c>
      <c r="C13" s="851">
        <f>Datos!AR13</f>
        <v>3</v>
      </c>
      <c r="D13" s="849">
        <f>SUBTOTAL(9,D9:D12)</f>
        <v>137</v>
      </c>
      <c r="E13" s="850">
        <f t="shared" si="0"/>
        <v>45.666666666666664</v>
      </c>
      <c r="F13" s="849">
        <f>SUBTOTAL(9,F9:F12)</f>
        <v>209</v>
      </c>
      <c r="G13" s="850">
        <f t="shared" si="1"/>
        <v>69.666666666666671</v>
      </c>
      <c r="H13" s="849">
        <f>SUBTOTAL(9,H9:H12)</f>
        <v>391</v>
      </c>
      <c r="I13" s="850">
        <f>IF(ISNUMBER(H13/B13),H13/B13," - ")</f>
        <v>130.33333333333334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114</v>
      </c>
      <c r="E16" s="404">
        <f t="shared" si="3"/>
        <v>38</v>
      </c>
      <c r="F16" s="403">
        <f>IF(ISNUMBER(Datos!N16),Datos!N16," - ")</f>
        <v>745</v>
      </c>
      <c r="G16" s="404">
        <f t="shared" si="4"/>
        <v>248.33333333333334</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70</v>
      </c>
      <c r="G17" s="404">
        <f>IF(ISNUMBER(F17/B17),F17/B17," - ")</f>
        <v>70</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120</v>
      </c>
      <c r="E18" s="850">
        <f t="shared" si="3"/>
        <v>40</v>
      </c>
      <c r="F18" s="849">
        <f>SUBTOTAL(9,F15:F17)</f>
        <v>815</v>
      </c>
      <c r="G18" s="850">
        <f t="shared" si="4"/>
        <v>271.66666666666669</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257</v>
      </c>
      <c r="E19" s="795">
        <f>IF(ISNUMBER(D19/B19),D19/B19," - ")</f>
        <v>85.666666666666671</v>
      </c>
      <c r="F19" s="794">
        <f>SUBTOTAL(9,F8:F18)</f>
        <v>1024</v>
      </c>
      <c r="G19" s="795">
        <f>IF(ISNUMBER(F19/B19),F19/B19," - ")</f>
        <v>341.33333333333331</v>
      </c>
      <c r="H19" s="794">
        <f>SUBTOTAL(9,H8:H18)</f>
        <v>398</v>
      </c>
      <c r="I19" s="795">
        <f>IF(ISNUMBER(H19/B19),H19/B19," - ")</f>
        <v>132.66666666666666</v>
      </c>
    </row>
    <row r="22" spans="1:78">
      <c r="A22" s="391" t="str">
        <f>Criterios!A4</f>
        <v>Fecha Informe: 24 sep. 2024</v>
      </c>
    </row>
    <row r="27" spans="1:78">
      <c r="A27" s="414"/>
    </row>
  </sheetData>
  <sheetProtection algorithmName="SHA-512" hashValue="JW2JHjDT7tZ9REHy0V3m9g1SGQlPNs8HhO13SjhFb/Bou+ec0u4cWlOimeUb5L3/RW1MCoVC3RimxtjW0x2g0Q==" saltValue="OLqlhT1OhsAqyrAm3b1R8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6</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80</v>
      </c>
      <c r="C12" s="434">
        <f>IF(ISNUMBER(Datos!Q12),Datos!Q12," - ")</f>
        <v>76</v>
      </c>
      <c r="D12" s="408">
        <f>IF(ISNUMBER(Datos!R12),Datos!R12," - ")</f>
        <v>4575</v>
      </c>
    </row>
    <row r="13" spans="1:4" ht="14.25" thickTop="1" thickBot="1">
      <c r="A13" s="848" t="str">
        <f>Datos!A13</f>
        <v>TOTAL</v>
      </c>
      <c r="B13" s="849">
        <f>SUBTOTAL(9,B9:B12)</f>
        <v>83</v>
      </c>
      <c r="C13" s="853">
        <f>SUBTOTAL(9,C9:C12)</f>
        <v>82</v>
      </c>
      <c r="D13" s="851">
        <f>SUBTOTAL(9,D9:D12)</f>
        <v>4583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23</v>
      </c>
      <c r="D16" s="408">
        <f>IF(ISNUMBER(Datos!R16),Datos!R16," - ")</f>
        <v>177</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24</v>
      </c>
      <c r="C18" s="853">
        <f>SUBTOTAL(9,C15:C17)</f>
        <v>24</v>
      </c>
      <c r="D18" s="851">
        <f>SUBTOTAL(9,D15:D17)</f>
        <v>177</v>
      </c>
    </row>
    <row r="19" spans="1:4" ht="16.5" customHeight="1" thickTop="1" thickBot="1">
      <c r="A19" s="793" t="str">
        <f>Datos!A19</f>
        <v>TOTAL JURISDICCIONES</v>
      </c>
      <c r="B19" s="798">
        <f>SUBTOTAL(9,B8:B18)</f>
        <v>107</v>
      </c>
      <c r="C19" s="799">
        <f>SUBTOTAL(9,C8:C18)</f>
        <v>106</v>
      </c>
      <c r="D19" s="800">
        <f>SUBTOTAL(9,D8:D18)</f>
        <v>4760</v>
      </c>
    </row>
    <row r="20" spans="1:4" ht="7.5" customHeight="1"/>
    <row r="21" spans="1:4" ht="6" customHeight="1"/>
    <row r="22" spans="1:4">
      <c r="A22" s="391" t="str">
        <f>Criterios!A4</f>
        <v>Fecha Informe: 24 sep. 2024</v>
      </c>
    </row>
    <row r="27" spans="1:4">
      <c r="A27" s="414"/>
    </row>
  </sheetData>
  <sheetProtection algorithmName="SHA-512" hashValue="GX4HlrpZpB1xcy+sli1Z9fLHifoNK5nE5UnWxLsXH1aRnGCBGkL0ldtXs1VNS/ZXmcTzIQfiF9ZoM4PcQ7y7GA==" saltValue="lSqzwtYunYlh/94MIbIu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-2.2058823529411766E-2</v>
      </c>
      <c r="C10" s="456">
        <f>IF(ISNUMBER((Datos!J10-Datos!T10)/Datos!T10),(Datos!J10-Datos!T10)/Datos!T10," - ")</f>
        <v>1</v>
      </c>
      <c r="D10" s="456">
        <f>IF(ISNUMBER((Datos!K10-Datos!U10)/Datos!U10),(Datos!K10-Datos!U10)/Datos!U10," - ")</f>
        <v>0</v>
      </c>
      <c r="E10" s="456">
        <f>IF(ISNUMBER((Datos!L10-Datos!V10)/Datos!V10),(Datos!L10-Datos!V10)/Datos!V10," - ")</f>
        <v>-0.52238805970149249</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-0.52238805970149249</v>
      </c>
      <c r="J10" s="461">
        <f>IF(ISNUMBER((('Resol  Asuntos'!D10/NºAsuntos!G10)-Datos!BF10)/Datos!BF10),(('Resol  Asuntos'!D10/NºAsuntos!G10)-Datos!BF10)/Datos!BF10," - ")</f>
        <v>0</v>
      </c>
      <c r="K10" s="462">
        <f>IF(ISNUMBER((((NºAsuntos!C10+NºAsuntos!E10)/NºAsuntos!G10)-Datos!BG10)/Datos!BG10),(((NºAsuntos!C10+NºAsuntos!E10)/NºAsuntos!G10)-Datos!BG10)/Datos!BG10," - ")</f>
        <v>-1.4598540145985351E-2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0.33989310009718171</v>
      </c>
      <c r="C12" s="456">
        <f>IF(ISNUMBER(
   IF(J_V="SI",(Datos!J12-Datos!T12)/Datos!T12,(Datos!J12+Datos!Z12-(Datos!T12+Datos!AH12))/(Datos!T12+Datos!AH12))
     ),IF(J_V="SI",(Datos!J12-Datos!T12)/Datos!T12,(Datos!J12+Datos!Z12-(Datos!T12+Datos!AH12))/(Datos!T12+Datos!AH12))," - ")</f>
        <v>0.51669316375198726</v>
      </c>
      <c r="D12" s="456">
        <f>IF(ISNUMBER(
   IF(J_V="SI",(Datos!K12-Datos!U12)/Datos!U12,(Datos!K12+Datos!AA12-(Datos!U12+Datos!AI12))/(Datos!U12+Datos!AI12))
     ),IF(J_V="SI",(Datos!K12-Datos!U12)/Datos!U12,(Datos!K12+Datos!AA12-(Datos!U12+Datos!AI12))/(Datos!U12+Datos!AI12))," - ")</f>
        <v>0.10600706713780919</v>
      </c>
      <c r="E12" s="456">
        <f>IF(ISNUMBER(
   IF(J_V="SI",(Datos!L12-Datos!V12)/Datos!V12,(Datos!L12+Datos!AB12-(Datos!V12+Datos!AJ12))/(Datos!V12+Datos!AJ12))
     ),IF(J_V="SI",(Datos!L12-Datos!V12)/Datos!V12,(Datos!L12+Datos!AB12-(Datos!V12+Datos!AJ12))/(Datos!V12+Datos!AJ12))," - ")</f>
        <v>0.52195824334053276</v>
      </c>
      <c r="F12" s="456">
        <f>IF(ISNUMBER((Datos!M12-Datos!W12)/Datos!W12),(Datos!M12-Datos!W12)/Datos!W12," - ")</f>
        <v>8.0645161290322578E-2</v>
      </c>
      <c r="G12" s="457">
        <f>IF(ISNUMBER((Datos!N12-Datos!X12)/Datos!X12),(Datos!N12-Datos!X12)/Datos!X12," - ")</f>
        <v>-0.21428571428571427</v>
      </c>
      <c r="H12" s="455">
        <f>IF(ISNUMBER(((NºAsuntos!G12/NºAsuntos!E12)-Datos!BD12)/Datos!BD12),((NºAsuntos!G12/NºAsuntos!E12)-Datos!BD12)/Datos!BD12," - ")</f>
        <v>-0.27077731107999792</v>
      </c>
      <c r="I12" s="456">
        <f>IF(ISNUMBER(((NºAsuntos!I12/NºAsuntos!G12)-Datos!BE12)/Datos!BE12),((NºAsuntos!I12/NºAsuntos!G12)-Datos!BE12)/Datos!BE12," - ")</f>
        <v>0.37608365132706312</v>
      </c>
      <c r="J12" s="461">
        <f>IF(ISNUMBER((('Resol  Asuntos'!D12/NºAsuntos!G12)-Datos!BF12)/Datos!BF12),(('Resol  Asuntos'!D12/NºAsuntos!G12)-Datos!BF12)/Datos!BF12," - ")</f>
        <v>-0.54452424992192938</v>
      </c>
      <c r="K12" s="462">
        <f>IF(ISNUMBER((((NºAsuntos!C12+NºAsuntos!E12)/NºAsuntos!G12)-Datos!BG12)/Datos!BG12),(((NºAsuntos!C12+NºAsuntos!E12)/NºAsuntos!G12)-Datos!BG12)/Datos!BG12," - ")</f>
        <v>0.23265923100489178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0.32831608654750705</v>
      </c>
      <c r="C13" s="855">
        <f>IF(ISNUMBER(
   IF(J_V="SI",(Datos!J13-Datos!T13)/Datos!T13,(Datos!J13+Datos!Z13-(Datos!T13+Datos!AH13))/(Datos!T13+Datos!AH13))
     ),IF(J_V="SI",(Datos!J13-Datos!T13)/Datos!T13,(Datos!J13+Datos!Z13-(Datos!T13+Datos!AH13))/(Datos!T13+Datos!AH13))," - ")</f>
        <v>0.51746031746031751</v>
      </c>
      <c r="D13" s="855">
        <f>IF(ISNUMBER(
   IF(J_V="SI",(Datos!K13-Datos!U13)/Datos!U13,(Datos!K13+Datos!AA13-(Datos!U13+Datos!AI13))/(Datos!U13+Datos!AI13))
     ),IF(J_V="SI",(Datos!K13-Datos!U13)/Datos!U13,(Datos!K13+Datos!AA13-(Datos!U13+Datos!AI13))/(Datos!U13+Datos!AI13))," - ")</f>
        <v>0.1054481546572935</v>
      </c>
      <c r="E13" s="855">
        <f>IF(ISNUMBER(
   IF(J_V="SI",(Datos!L13-Datos!V13)/Datos!V13,(Datos!L13+Datos!AB13-(Datos!V13+Datos!AJ13))/(Datos!V13+Datos!AJ13))
     ),IF(J_V="SI",(Datos!L13-Datos!V13)/Datos!V13,(Datos!L13+Datos!AB13-(Datos!V13+Datos!AJ13))/(Datos!V13+Datos!AJ13))," - ")</f>
        <v>0.48942106486863518</v>
      </c>
      <c r="F13" s="856">
        <f>IF(ISNUMBER((Datos!M13-Datos!W13)/Datos!W13),(Datos!M13-Datos!W13)/Datos!W13," - ")</f>
        <v>7.874015748031496E-2</v>
      </c>
      <c r="G13" s="857">
        <f>IF(ISNUMBER((Datos!N13-Datos!X13)/Datos!X13),(Datos!N13-Datos!X13)/Datos!X13," - ")</f>
        <v>-0.21428571428571427</v>
      </c>
      <c r="H13" s="857">
        <f>IF(ISNUMBER(((NºAsuntos!G13/NºAsuntos!E13)-Datos!BD13)/Datos!BD13),((NºAsuntos!G13/NºAsuntos!E13)-Datos!BD13)/Datos!BD13," - ")</f>
        <v>-0.27151429138693006</v>
      </c>
      <c r="I13" s="857">
        <f>IF(ISNUMBER(((NºAsuntos!I13/NºAsuntos!G13)-Datos!BE13)/Datos!BE13),((NºAsuntos!I13/NºAsuntos!G13)-Datos!BE13)/Datos!BE13," - ")</f>
        <v>0.34734592354571298</v>
      </c>
      <c r="J13" s="857">
        <f>IF(ISNUMBER((('Resol  Asuntos'!D13/NºAsuntos!G13)-Datos!BF13)/Datos!BF13),(('Resol  Asuntos'!D13/NºAsuntos!G13)-Datos!BF13)/Datos!BF13," - ")</f>
        <v>-0.53928759286292638</v>
      </c>
      <c r="K13" s="857">
        <f>IF(ISNUMBER((((NºAsuntos!C13+NºAsuntos!E13)/NºAsuntos!G13)-Datos!BG13)/Datos!BG13),(((NºAsuntos!C13+NºAsuntos!E13)/NºAsuntos!G13)-Datos!BG13)/Datos!BG13," - ")</f>
        <v>0.22368858966685312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0.13683733574988671</v>
      </c>
      <c r="C16" s="456">
        <f>IF(ISNUMBER(
   IF(D_I="SI",(Datos!J16-Datos!T16)/Datos!T16,(Datos!J16+Datos!AD16-(Datos!T16+Datos!AL16))/(Datos!T16+Datos!AL16))
     ),IF(D_I="SI",(Datos!J16-Datos!T16)/Datos!T16,(Datos!J16+Datos!AD16-(Datos!T16+Datos!AL16))/(Datos!T16+Datos!AL16))," - ")</f>
        <v>-0.12943262411347517</v>
      </c>
      <c r="D16" s="456">
        <f>IF(ISNUMBER(
   IF(D_I="SI",(Datos!K16-Datos!U16)/Datos!U16,(Datos!K16+Datos!AE16-(Datos!U16+Datos!AM16))/(Datos!U16+Datos!AM16))
     ),IF(D_I="SI",(Datos!K16-Datos!U16)/Datos!U16,(Datos!K16+Datos!AE16-(Datos!U16+Datos!AM16))/(Datos!U16+Datos!AM16))," - ")</f>
        <v>5.3212851405622492E-2</v>
      </c>
      <c r="E16" s="456">
        <f>IF(ISNUMBER(
   IF(D_I="SI",(Datos!L16-Datos!V16)/Datos!V16,(Datos!L16+Datos!AF16-(Datos!V16+Datos!AN16))/(Datos!V16+Datos!AN16))
     ),IF(D_I="SI",(Datos!L16-Datos!V16)/Datos!V16,(Datos!L16+Datos!AF16-(Datos!V16+Datos!AN16))/(Datos!V16+Datos!AN16))," - ")</f>
        <v>1.4511873350923483E-2</v>
      </c>
      <c r="F16" s="456">
        <f>IF(ISNUMBER((Datos!M16-Datos!W16)/Datos!W16),(Datos!M16-Datos!W16)/Datos!W16," - ")</f>
        <v>0.35714285714285715</v>
      </c>
      <c r="G16" s="457">
        <f>IF(ISNUMBER((Datos!N16-Datos!X16)/Datos!X16),(Datos!N16-Datos!X16)/Datos!X16," - ")</f>
        <v>3.0428769017980636E-2</v>
      </c>
      <c r="H16" s="455">
        <f>IF(ISNUMBER(((NºAsuntos!G16/NºAsuntos!E16)-Datos!BD16)/Datos!BD16),((NºAsuntos!G16/NºAsuntos!E16)-Datos!BD16)/Datos!BD16," - ")</f>
        <v>0.20980050548425885</v>
      </c>
      <c r="I16" s="456">
        <f>IF(ISNUMBER(((NºAsuntos!I16/NºAsuntos!G16)-Datos!BE16)/Datos!BE16),((NºAsuntos!I16/NºAsuntos!G16)-Datos!BE16)/Datos!BE16," - ")</f>
        <v>-3.674563788606313E-2</v>
      </c>
      <c r="J16" s="461">
        <f>IF(ISNUMBER((('Resol  Asuntos'!D16/NºAsuntos!G16)-Datos!BF16)/Datos!BF16),(('Resol  Asuntos'!D16/NºAsuntos!G16)-Datos!BF16)/Datos!BF16," - ")</f>
        <v>0.28857415225384736</v>
      </c>
      <c r="K16" s="462">
        <f>IF(ISNUMBER((((NºAsuntos!C16+NºAsuntos!E16)/NºAsuntos!G16)-Datos!BG16)/Datos!BG16),(((NºAsuntos!C16+NºAsuntos!E16)/NºAsuntos!G16)-Datos!BG16)/Datos!BG16," - ")</f>
        <v>2.7941924721487328E-2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1.7058823529411764</v>
      </c>
      <c r="C17" s="456">
        <f>IF(ISNUMBER(
   IF(D_I="SI",(Datos!J17-Datos!T17)/Datos!T17,(Datos!J17+Datos!AD17-(Datos!T17+Datos!AL17))/(Datos!T17+Datos!AL17))
     ),IF(D_I="SI",(Datos!J17-Datos!T17)/Datos!T17,(Datos!J17+Datos!AD17-(Datos!T17+Datos!AL17))/(Datos!T17+Datos!AL17))," - ")</f>
        <v>0.22352941176470589</v>
      </c>
      <c r="D17" s="456">
        <f>IF(ISNUMBER(
   IF(D_I="SI",(Datos!K17-Datos!U17)/Datos!U17,(Datos!K17+Datos!AE17-(Datos!U17+Datos!AM17))/(Datos!U17+Datos!AM17))
     ),IF(D_I="SI",(Datos!K17-Datos!U17)/Datos!U17,(Datos!K17+Datos!AE17-(Datos!U17+Datos!AM17))/(Datos!U17+Datos!AM17))," - ")</f>
        <v>0.43478260869565216</v>
      </c>
      <c r="E17" s="456">
        <f>IF(ISNUMBER(
   IF(D_I="SI",(Datos!L17-Datos!V17)/Datos!V17,(Datos!L17+Datos!AF17-(Datos!V17+Datos!AN17))/(Datos!V17+Datos!AN17))
     ),IF(D_I="SI",(Datos!L17-Datos!V17)/Datos!V17,(Datos!L17+Datos!AF17-(Datos!V17+Datos!AN17))/(Datos!V17+Datos!AN17))," - ")</f>
        <v>-2.5423728813559324E-2</v>
      </c>
      <c r="F17" s="456">
        <f>IF(ISNUMBER((Datos!M17-Datos!W17)/Datos!W17),(Datos!M17-Datos!W17)/Datos!W17," - ")</f>
        <v>0.5</v>
      </c>
      <c r="G17" s="457">
        <f>IF(ISNUMBER((Datos!N17-Datos!X17)/Datos!X17),(Datos!N17-Datos!X17)/Datos!X17," - ")</f>
        <v>0.12903225806451613</v>
      </c>
      <c r="H17" s="455">
        <f>IF(ISNUMBER(((NºAsuntos!G17/NºAsuntos!E17)-Datos!BD17)/Datos!BD17),((NºAsuntos!G17/NºAsuntos!E17)-Datos!BD17)/Datos!BD17," - ")</f>
        <v>0.17265886287625412</v>
      </c>
      <c r="I17" s="456">
        <f>IF(ISNUMBER(((NºAsuntos!I17/NºAsuntos!G17)-Datos!BE17)/Datos!BE17),((NºAsuntos!I17/NºAsuntos!G17)-Datos!BE17)/Datos!BE17," - ")</f>
        <v>-0.32074987159732926</v>
      </c>
      <c r="J17" s="461">
        <f>IF(ISNUMBER((('Resol  Asuntos'!D17/NºAsuntos!G17)-Datos!BF17)/Datos!BF17),(('Resol  Asuntos'!D17/NºAsuntos!G17)-Datos!BF17)/Datos!BF17," - ")</f>
        <v>4.545454545454547E-2</v>
      </c>
      <c r="K17" s="462">
        <f>IF(ISNUMBER((((NºAsuntos!C17+NºAsuntos!E17)/NºAsuntos!G17)-Datos!BG17)/Datos!BG17),(((NºAsuntos!C17+NºAsuntos!E17)/NºAsuntos!G17)-Datos!BG17)/Datos!BG17," - ")</f>
        <v>0.4163020580132879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0.17227635075287864</v>
      </c>
      <c r="C18" s="855">
        <f>IF(ISNUMBER(
   IF(Criterios!B14="SI",(Datos!J18-Datos!T18)/Datos!T18,(Datos!J18+Datos!AD18-(Datos!T18+Datos!AL18))/(Datos!T18+Datos!AL18))
     ),IF(Criterios!B14="SI",(Datos!J18-Datos!T18)/Datos!T18,(Datos!J18+Datos!AD18-(Datos!T18+Datos!AL18))/(Datos!T18+Datos!AL18))," - ")</f>
        <v>-0.10469909315746084</v>
      </c>
      <c r="D18" s="855">
        <f>IF(ISNUMBER(
   IF(Criterios!B14="SI",(Datos!K18-Datos!U18)/Datos!U18,(Datos!K18+Datos!AE18-(Datos!U18+Datos!AM18))/(Datos!U18+Datos!AM18))
     ),IF(Criterios!B14="SI",(Datos!K18-Datos!U18)/Datos!U18,(Datos!K18+Datos!AE18-(Datos!U18+Datos!AM18))/(Datos!U18+Datos!AM18))," - ")</f>
        <v>7.7934272300469482E-2</v>
      </c>
      <c r="E18" s="855">
        <f>IF(ISNUMBER(
   IF(Criterios!B14="SI",(Datos!L18-Datos!V18)/Datos!V18,(Datos!L18+Datos!AF18-(Datos!V18+Datos!AN18))/(Datos!V18+Datos!AN18))
     ),IF(Criterios!B14="SI",(Datos!L18-Datos!V18)/Datos!V18,(Datos!L18+Datos!AF18-(Datos!V18+Datos!AN18))/(Datos!V18+Datos!AN18))," - ")</f>
        <v>1.350192884697814E-2</v>
      </c>
      <c r="F18" s="856">
        <f>IF(ISNUMBER((Datos!M18-Datos!W18)/Datos!W18),(Datos!M18-Datos!W18)/Datos!W18," - ")</f>
        <v>0.36363636363636365</v>
      </c>
      <c r="G18" s="857">
        <f>IF(ISNUMBER((Datos!N18-Datos!X18)/Datos!X18),(Datos!N18-Datos!X18)/Datos!X18," - ")</f>
        <v>3.8216560509554139E-2</v>
      </c>
      <c r="H18" s="857">
        <f>IF(ISNUMBER(((NºAsuntos!G18/NºAsuntos!E18)-Datos!BD18)/Datos!BD18),((NºAsuntos!G18/NºAsuntos!E18)-Datos!BD18)/Datos!BD18," - ")</f>
        <v>0.20399104263394971</v>
      </c>
      <c r="I18" s="857">
        <f>IF(ISNUMBER(((NºAsuntos!I18/NºAsuntos!G18)-Datos!BE18)/Datos!BE18),((NºAsuntos!I18/NºAsuntos!G18)-Datos!BE18)/Datos!BE18," - ")</f>
        <v>-5.9773907472097806E-2</v>
      </c>
      <c r="J18" s="857">
        <f>IF(ISNUMBER((('Resol  Asuntos'!D18/NºAsuntos!G18)-Datos!BF18)/Datos!BF18),(('Resol  Asuntos'!D18/NºAsuntos!G18)-Datos!BF18)/Datos!BF18," - ")</f>
        <v>0.26504592968007612</v>
      </c>
      <c r="K18" s="857">
        <f>IF(ISNUMBER((((NºAsuntos!C18+NºAsuntos!E18)/NºAsuntos!G18)-Datos!BG18)/Datos!BG18),(((NºAsuntos!C18+NºAsuntos!E18)/NºAsuntos!G18)-Datos!BG18)/Datos!BG18," - ")</f>
        <v>3.3117162331386937E-2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0.2479470802919708</v>
      </c>
      <c r="C19" s="802">
        <f>IF(ISNUMBER(
   IF(J_V="SI",(Datos!J19-Datos!T19)/Datos!T19,(Datos!J19+Datos!Z19-(Datos!T19+Datos!AH19))/(Datos!T19+Datos!AH19))
     ),IF(J_V="SI",(Datos!J19-Datos!T19)/Datos!T19,(Datos!J19+Datos!Z19-(Datos!T19+Datos!AH19))/(Datos!T19+Datos!AH19))," - ")</f>
        <v>0.1079761258817146</v>
      </c>
      <c r="D19" s="802">
        <f>IF(ISNUMBER(
   IF(J_V="SI",(Datos!K19-Datos!U19)/Datos!U19,(Datos!K19+Datos!AA19-(Datos!U19+Datos!AI19))/(Datos!U19+Datos!AI19))
     ),IF(J_V="SI",(Datos!K19-Datos!U19)/Datos!U19,(Datos!K19+Datos!AA19-(Datos!U19+Datos!AI19))/(Datos!U19+Datos!AI19))," - ")</f>
        <v>8.7515299877600983E-2</v>
      </c>
      <c r="E19" s="802">
        <f>IF(ISNUMBER(
   IF(J_V="SI",(Datos!L19-Datos!V19)/Datos!V19,(Datos!L19+Datos!AB19-(Datos!V19+Datos!AJ19))/(Datos!V19+Datos!AJ19))
     ),IF(J_V="SI",(Datos!L19-Datos!V19)/Datos!V19,(Datos!L19+Datos!AB19-(Datos!V19+Datos!AJ19))/(Datos!V19+Datos!AJ19))," - ")</f>
        <v>0.24177539868406378</v>
      </c>
      <c r="F19" s="803">
        <f>IF(ISNUMBER((Datos!M19-Datos!W19)/Datos!W19),(Datos!M19-Datos!W19)/Datos!W19," - ")</f>
        <v>0.19534883720930232</v>
      </c>
      <c r="G19" s="804">
        <f>IF(ISNUMBER((Datos!N19-Datos!X19)/Datos!X19),(Datos!N19-Datos!X19)/Datos!X19," - ")</f>
        <v>-2.5689819219790674E-2</v>
      </c>
      <c r="H19" s="805">
        <f>IF(ISNUMBER((Tasas!B19-Datos!BD19)/Datos!BD19),(Tasas!B19-Datos!BD19)/Datos!BD19," - ")</f>
        <v>-1.8466847368061326E-2</v>
      </c>
      <c r="I19" s="806">
        <f>IF(ISNUMBER((Tasas!C19-Datos!BE19)/Datos!BE19),(Tasas!C19-Datos!BE19)/Datos!BE19," - ")</f>
        <v>0.14184637110284759</v>
      </c>
      <c r="J19" s="807">
        <f>IF(ISNUMBER((Tasas!D19-Datos!BF19)/Datos!BF19),(Tasas!D19-Datos!BF19)/Datos!BF19," - ")</f>
        <v>-0.33804337717078953</v>
      </c>
      <c r="K19" s="807">
        <f>IF(ISNUMBER((Tasas!E19-Datos!BG19)/Datos!BG19),(Tasas!E19-Datos!BG19)/Datos!BG19," - ")</f>
        <v>0.12516656062472625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dh0e7dY0I3RjS7RsXG051qsiawhJowUG2EcePmtcka6KCQRIYpxw+p9JUerXPhcV7y/gb2E91uKtETVK6mLhw==" saltValue="jA7tMJKnP5wTDvGq+WCH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21.333333333333332</v>
      </c>
      <c r="D10" s="444">
        <f>IF(ISNUMBER('Resol  Asuntos'!D10/NºAsuntos!G10),'Resol  Asuntos'!D10/NºAsuntos!G10," - ")</f>
        <v>1</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0.65618448637316562</v>
      </c>
      <c r="C12" s="443">
        <f>IF(ISNUMBER(NºAsuntos!I12/NºAsuntos!G12),NºAsuntos!I12/NºAsuntos!G12," - ")</f>
        <v>10.130990415335463</v>
      </c>
      <c r="D12" s="444">
        <f>IF(ISNUMBER('Resol  Asuntos'!D12/NºAsuntos!G12),'Resol  Asuntos'!D12/NºAsuntos!G12," - ")</f>
        <v>0.21405750798722045</v>
      </c>
      <c r="E12" s="445">
        <f>IF(ISNUMBER((NºAsuntos!C12+NºAsuntos!E12)/NºAsuntos!G12),(NºAsuntos!C12+NºAsuntos!E12)/NºAsuntos!G12," - ")</f>
        <v>10.333865814696486</v>
      </c>
      <c r="G12" s="463"/>
    </row>
    <row r="13" spans="1:7" ht="14.25" thickTop="1" thickBot="1">
      <c r="A13" s="848" t="str">
        <f>Datos!A13</f>
        <v>TOTAL</v>
      </c>
      <c r="B13" s="858">
        <f>IF(ISNUMBER(NºAsuntos!G13/NºAsuntos!E13),NºAsuntos!G13/NºAsuntos!E13," - ")</f>
        <v>0.65794979079497906</v>
      </c>
      <c r="C13" s="859">
        <f>IF(ISNUMBER(NºAsuntos!I13/NºAsuntos!G13),NºAsuntos!I13/NºAsuntos!G13," - ")</f>
        <v>10.184419713831479</v>
      </c>
      <c r="D13" s="860">
        <f>IF(ISNUMBER('Resol  Asuntos'!D13/NºAsuntos!G13),'Resol  Asuntos'!D13/NºAsuntos!G13," - ")</f>
        <v>0.21780604133545309</v>
      </c>
      <c r="E13" s="861">
        <f>IF(ISNUMBER((NºAsuntos!C13+NºAsuntos!E13)/NºAsuntos!G13),(NºAsuntos!C13+NºAsuntos!E13)/NºAsuntos!G13," - ")</f>
        <v>10.499205087440382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1.0682281059063137</v>
      </c>
      <c r="C16" s="443">
        <f>IF(ISNUMBER(NºAsuntos!I16/NºAsuntos!G16),NºAsuntos!I16/NºAsuntos!G16," - ")</f>
        <v>4.3984747378455671</v>
      </c>
      <c r="D16" s="444">
        <f>IF(ISNUMBER('Resol  Asuntos'!D16/NºAsuntos!G16),'Resol  Asuntos'!D16/NºAsuntos!G16," - ")</f>
        <v>0.10867492850333652</v>
      </c>
      <c r="E16" s="445">
        <f>IF(ISNUMBER((NºAsuntos!C16+NºAsuntos!E16)/NºAsuntos!G16),(NºAsuntos!C16+NºAsuntos!E16)/NºAsuntos!G16," - ")</f>
        <v>5.7197330791229746</v>
      </c>
      <c r="G16" s="463"/>
    </row>
    <row r="17" spans="1:7" ht="13.5" thickBot="1">
      <c r="A17" s="402" t="str">
        <f>Datos!A17</f>
        <v>Jdos. Violencia contra la mujer</v>
      </c>
      <c r="B17" s="442">
        <f>IF(ISNUMBER(NºAsuntos!G17/NºAsuntos!E17),NºAsuntos!G17/NºAsuntos!E17," - ")</f>
        <v>0.95192307692307687</v>
      </c>
      <c r="C17" s="443">
        <f>IF(ISNUMBER(NºAsuntos!I17/NºAsuntos!G17),NºAsuntos!I17/NºAsuntos!G17," - ")</f>
        <v>1.1616161616161615</v>
      </c>
      <c r="D17" s="444">
        <f>IF(ISNUMBER('Resol  Asuntos'!D17/NºAsuntos!G17),'Resol  Asuntos'!D17/NºAsuntos!G17," - ")</f>
        <v>6.0606060606060608E-2</v>
      </c>
      <c r="E17" s="445">
        <f>IF(ISNUMBER((NºAsuntos!C17+NºAsuntos!E17)/NºAsuntos!G17),(NºAsuntos!C17+NºAsuntos!E17)/NºAsuntos!G17," - ")</f>
        <v>3.8383838383838382</v>
      </c>
      <c r="G17" s="463"/>
    </row>
    <row r="18" spans="1:7" ht="14.25" thickTop="1" thickBot="1">
      <c r="A18" s="848" t="str">
        <f>Datos!A18</f>
        <v>TOTAL</v>
      </c>
      <c r="B18" s="858">
        <f>IF(ISNUMBER(NºAsuntos!G18/NºAsuntos!E18),NºAsuntos!G18/NºAsuntos!E18," - ")</f>
        <v>1.0570902394106814</v>
      </c>
      <c r="C18" s="859">
        <f>IF(ISNUMBER(NºAsuntos!I18/NºAsuntos!G18),NºAsuntos!I18/NºAsuntos!G18," - ")</f>
        <v>4.1193379790940767</v>
      </c>
      <c r="D18" s="862">
        <f>IF(ISNUMBER('Resol  Asuntos'!D18/NºAsuntos!G18),'Resol  Asuntos'!D18/NºAsuntos!G18," - ")</f>
        <v>0.10452961672473868</v>
      </c>
      <c r="E18" s="861">
        <f>IF(ISNUMBER((NºAsuntos!C18+NºAsuntos!E18)/NºAsuntos!G18),(NºAsuntos!C18+NºAsuntos!E18)/NºAsuntos!G18," - ")</f>
        <v>5.5574912891986061</v>
      </c>
      <c r="G18" s="463"/>
    </row>
    <row r="19" spans="1:7" ht="15.75" customHeight="1" thickTop="1" thickBot="1">
      <c r="A19" s="793" t="str">
        <f>Datos!A19</f>
        <v>TOTAL JURISDICCIONES</v>
      </c>
      <c r="B19" s="808">
        <f>IF(ISNUMBER(NºAsuntos!G19/NºAsuntos!E19),NºAsuntos!G19/NºAsuntos!E19," - ")</f>
        <v>0.87022526934378064</v>
      </c>
      <c r="C19" s="809">
        <f>IF(ISNUMBER(NºAsuntos!I19/NºAsuntos!G19),NºAsuntos!I19/NºAsuntos!G19," - ")</f>
        <v>6.2661789532920649</v>
      </c>
      <c r="D19" s="810">
        <f>IF(ISNUMBER('Resol  Asuntos'!D19/NºAsuntos!G19),'Resol  Asuntos'!D19/NºAsuntos!G19," - ")</f>
        <v>0.14462577377602701</v>
      </c>
      <c r="E19" s="811">
        <f>IF(ISNUMBER((NºAsuntos!C19+NºAsuntos!E19)/NºAsuntos!G19),(NºAsuntos!C19+NºAsuntos!E19)/NºAsuntos!G19," - ")</f>
        <v>7.3066966797974118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wchGeuqJxPK00EVhvQkTMfvkwyykpNw7NiJmQWW1mvuanlKfvCgBc0Cuwa75skLWq8H8XViVMi/j09cOThepw==" saltValue="Nfa81XSMNT9nRlgKQsQ5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65</v>
      </c>
      <c r="G10" s="333">
        <f>IF(ISNUMBER(Datos!I10),Datos!I10," - ")</f>
        <v>133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6</v>
      </c>
      <c r="Y10" s="334">
        <f t="shared" ref="Y10:Y12" si="0">SUM(W10:X10)</f>
        <v>9</v>
      </c>
      <c r="Z10" s="335" t="str">
        <f>IF(ISNUMBER(Datos!CC10),Datos!CC10," - ")</f>
        <v xml:space="preserve"> - </v>
      </c>
      <c r="AA10" s="332">
        <f>IF(ISNUMBER(Datos!L10),Datos!L10,"-")</f>
        <v>64</v>
      </c>
      <c r="AB10" s="334">
        <f>IF(ISNUMBER(Datos!R10),Datos!R10," - ")</f>
        <v>8</v>
      </c>
      <c r="AC10" s="334">
        <f t="shared" ref="AC10:AC12" si="1">IF(ISNUMBER(AA10+AB10),AA10+AB10," - ")</f>
        <v>72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64</v>
      </c>
      <c r="AN10" s="244">
        <f>IF(ISNUMBER('Resol  Asuntos'!D10/NºAsuntos!G10),'Resol  Asuntos'!D10/NºAsuntos!G10," - ")</f>
        <v>1</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0.65618448637316562</v>
      </c>
      <c r="AM12" s="260">
        <f>IF(ISNUMBER(((NºAsuntos!I12/NºAsuntos!G12)*11)/factor_trimestre),((NºAsuntos!I12/NºAsuntos!G12)*11)/factor_trimestre," - ")</f>
        <v>30.392971246006386</v>
      </c>
      <c r="AN12" s="244">
        <f>IF(ISNUMBER('Resol  Asuntos'!D12/NºAsuntos!G12),'Resol  Asuntos'!D12/NºAsuntos!G12," - ")</f>
        <v>0.21405750798722045</v>
      </c>
      <c r="AO12" s="245">
        <f>IF(ISNUMBER((NºAsuntos!C12+NºAsuntos!E12)/NºAsuntos!G12),(NºAsuntos!C12+NºAsuntos!E12)/NºAsuntos!G12," - ")</f>
        <v>10.333865814696486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65</v>
      </c>
      <c r="G13" s="866">
        <f t="shared" si="3"/>
        <v>133</v>
      </c>
      <c r="H13" s="865">
        <f t="shared" si="3"/>
        <v>0</v>
      </c>
      <c r="I13" s="867">
        <f t="shared" si="3"/>
        <v>0</v>
      </c>
      <c r="J13" s="867">
        <f t="shared" si="3"/>
        <v>0</v>
      </c>
      <c r="K13" s="867">
        <f t="shared" si="3"/>
        <v>0</v>
      </c>
      <c r="L13" s="867">
        <f t="shared" si="3"/>
        <v>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82</v>
      </c>
      <c r="Y13" s="868">
        <f t="shared" si="4"/>
        <v>85</v>
      </c>
      <c r="Z13" s="868">
        <f t="shared" si="4"/>
        <v>0</v>
      </c>
      <c r="AA13" s="868">
        <f t="shared" si="4"/>
        <v>64</v>
      </c>
      <c r="AB13" s="868">
        <f t="shared" si="4"/>
        <v>4583</v>
      </c>
      <c r="AC13" s="868">
        <f t="shared" si="4"/>
        <v>72</v>
      </c>
      <c r="AD13" s="868">
        <f t="shared" si="4"/>
        <v>0</v>
      </c>
      <c r="AE13" s="872">
        <f t="shared" si="4"/>
        <v>0</v>
      </c>
      <c r="AF13" s="865">
        <f t="shared" si="4"/>
        <v>0</v>
      </c>
      <c r="AG13" s="873">
        <f t="shared" si="4"/>
        <v>0</v>
      </c>
      <c r="AH13" s="870">
        <f t="shared" si="4"/>
        <v>0</v>
      </c>
      <c r="AI13" s="865">
        <f t="shared" si="4"/>
        <v>137</v>
      </c>
      <c r="AJ13" s="867">
        <f t="shared" si="4"/>
        <v>0</v>
      </c>
      <c r="AK13" s="870">
        <f>SUBTOTAL(9,AK9:AK12)</f>
        <v>0</v>
      </c>
      <c r="AL13" s="874">
        <f>IF(ISNUMBER(NºAsuntos!G13/NºAsuntos!E13),NºAsuntos!G13/NºAsuntos!E13," - ")</f>
        <v>0.65794979079497906</v>
      </c>
      <c r="AM13" s="874">
        <f>IF(ISNUMBER(((NºAsuntos!I13/NºAsuntos!G13)*11)/factor_trimestre),((NºAsuntos!I13/NºAsuntos!G13)*11)/factor_trimestre," - ")</f>
        <v>30.55325914149444</v>
      </c>
      <c r="AN13" s="875">
        <f>IF(ISNUMBER('Resol  Asuntos'!D13/NºAsuntos!G13),'Resol  Asuntos'!D13/NºAsuntos!G13," - ")</f>
        <v>0.21780604133545309</v>
      </c>
      <c r="AO13" s="876">
        <f>IF(ISNUMBER((NºAsuntos!C13+NºAsuntos!E13)/NºAsuntos!G13),(NºAsuntos!C13+NºAsuntos!E13)/NºAsuntos!G13," - ")</f>
        <v>10.499205087440382</v>
      </c>
      <c r="AP13" s="877" t="str">
        <f t="shared" si="2"/>
        <v xml:space="preserve"> - </v>
      </c>
      <c r="AQ13" s="877">
        <f>IF(ISNUMBER((H13-W13+K13)/(F13)),(H13-W13+K13)/(F13)," - ")</f>
        <v>-4.6153846153846156E-2</v>
      </c>
      <c r="AR13" s="878">
        <f>IF(ISNUMBER((Datos!P13-Datos!Q13)/(Datos!R13-Datos!P13+Datos!Q13)),(Datos!P13-Datos!Q13)/(Datos!R13-Datos!P13+Datos!Q13)," - ")</f>
        <v>2.1824530772588389E-4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4681</v>
      </c>
      <c r="G16" s="333">
        <f>IF(ISNUMBER(IF(D_I="SI",Datos!I16,Datos!I16+Datos!AC16)),IF(D_I="SI",Datos!I16,Datos!I16+Datos!AC16)," - ")</f>
        <v>5018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1049</v>
      </c>
      <c r="X16" s="226">
        <f>IF(ISNUMBER(Datos!Q16),Datos!Q16," - ")</f>
        <v>23</v>
      </c>
      <c r="Y16" s="334">
        <f t="shared" ref="Y16:Y17" si="7">SUM(W16:X16)</f>
        <v>1072</v>
      </c>
      <c r="Z16" s="335" t="str">
        <f>IF(ISNUMBER(Datos!CC16),Datos!CC16," - ")</f>
        <v xml:space="preserve"> - </v>
      </c>
      <c r="AA16" s="332">
        <f>IF(ISNUMBER(IF(D_I="SI",Datos!L16,Datos!L16+Datos!AF16)),IF(D_I="SI",Datos!L16,Datos!L16+Datos!AF16)," - ")</f>
        <v>4614</v>
      </c>
      <c r="AB16" s="334">
        <f>IF(ISNUMBER(Datos!R16),Datos!R16," - ")</f>
        <v>177</v>
      </c>
      <c r="AC16" s="334">
        <f t="shared" si="6"/>
        <v>4791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1.0682281059063137</v>
      </c>
      <c r="AM16" s="260">
        <f>IF(ISNUMBER(((NºAsuntos!I16/NºAsuntos!G16)*11)/factor_trimestre),((NºAsuntos!I16/NºAsuntos!G16)*11)/factor_trimestre," - ")</f>
        <v>13.195424213536702</v>
      </c>
      <c r="AN16" s="244">
        <f>IF(ISNUMBER('Resol  Asuntos'!D16/NºAsuntos!G16),'Resol  Asuntos'!D16/NºAsuntos!G16," - ")</f>
        <v>0.10867492850333652</v>
      </c>
      <c r="AO16" s="245">
        <f>IF(ISNUMBER((NºAsuntos!C16+NºAsuntos!E16)/NºAsuntos!G16),(NºAsuntos!C16+NºAsuntos!E16)/NºAsuntos!G16," - ")</f>
        <v>5.7197330791229746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1</v>
      </c>
      <c r="Y17" s="334">
        <f t="shared" si="7"/>
        <v>100</v>
      </c>
      <c r="Z17" s="335" t="str">
        <f>IF(ISNUMBER(Datos!CC17),Datos!CC17," - ")</f>
        <v xml:space="preserve"> - </v>
      </c>
      <c r="AA17" s="332">
        <f>IF(ISNUMBER(Datos!L17),Datos!L17,"-")</f>
        <v>115</v>
      </c>
      <c r="AB17" s="334">
        <f>IF(ISNUMBER(Datos!R17),Datos!R17," - ")</f>
        <v>0</v>
      </c>
      <c r="AC17" s="334">
        <f t="shared" si="6"/>
        <v>115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0.95192307692307687</v>
      </c>
      <c r="AM17" s="260">
        <f>IF(ISNUMBER(((NºAsuntos!I17/NºAsuntos!G17)*11)/factor_trimestre),((NºAsuntos!I17/NºAsuntos!G17)*11)/factor_trimestre," - ")</f>
        <v>3.4848484848484849</v>
      </c>
      <c r="AN17" s="244">
        <f>IF(ISNUMBER('Resol  Asuntos'!D17/NºAsuntos!G17),'Resol  Asuntos'!D17/NºAsuntos!G17," - ")</f>
        <v>6.0606060606060608E-2</v>
      </c>
      <c r="AO17" s="245">
        <f>IF(ISNUMBER((NºAsuntos!C17+NºAsuntos!E17)/NºAsuntos!G17),(NºAsuntos!C17+NºAsuntos!E17)/NºAsuntos!G17," - ")</f>
        <v>3.8383838383838382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4681</v>
      </c>
      <c r="G18" s="866">
        <f>SUBTOTAL(9,G15:G17)</f>
        <v>5294</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1148</v>
      </c>
      <c r="X18" s="867">
        <f t="shared" si="11"/>
        <v>24</v>
      </c>
      <c r="Y18" s="868">
        <f t="shared" si="11"/>
        <v>1172</v>
      </c>
      <c r="Z18" s="868">
        <f t="shared" si="11"/>
        <v>0</v>
      </c>
      <c r="AA18" s="868">
        <f t="shared" si="11"/>
        <v>4729</v>
      </c>
      <c r="AB18" s="868">
        <f t="shared" si="11"/>
        <v>177</v>
      </c>
      <c r="AC18" s="868">
        <f t="shared" si="11"/>
        <v>4906</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1.0570902394106814</v>
      </c>
      <c r="AM18" s="874">
        <f>IF(ISNUMBER(((NºAsuntos!I18/NºAsuntos!G18)*11)/factor_trimestre),((NºAsuntos!I18/NºAsuntos!G18)*11)/factor_trimestre," - ")</f>
        <v>12.35801393728223</v>
      </c>
      <c r="AN18" s="875">
        <f>IF(ISNUMBER('Resol  Asuntos'!D18/NºAsuntos!G18),'Resol  Asuntos'!D18/NºAsuntos!G18," - ")</f>
        <v>0.10452961672473868</v>
      </c>
      <c r="AO18" s="876">
        <f>IF(ISNUMBER((NºAsuntos!C18+NºAsuntos!E18)/NºAsuntos!G18),(NºAsuntos!C18+NºAsuntos!E18)/NºAsuntos!G18," - ")</f>
        <v>5.5574912891986061</v>
      </c>
      <c r="AP18" s="877" t="str">
        <f t="shared" si="2"/>
        <v xml:space="preserve"> - </v>
      </c>
      <c r="AQ18" s="877">
        <f>IF(ISNUMBER((H18-W18+K18)/(F18)),(H18-W18+K18)/(F18)," - ")</f>
        <v>-0.24524674214911343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4746</v>
      </c>
      <c r="G19" s="821">
        <f t="shared" si="13"/>
        <v>5427</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1151</v>
      </c>
      <c r="X19" s="821">
        <f t="shared" si="14"/>
        <v>106</v>
      </c>
      <c r="Y19" s="828">
        <f t="shared" si="14"/>
        <v>1257</v>
      </c>
      <c r="Z19" s="828">
        <f t="shared" si="14"/>
        <v>0</v>
      </c>
      <c r="AA19" s="828">
        <f t="shared" si="14"/>
        <v>4793</v>
      </c>
      <c r="AB19" s="828">
        <f t="shared" si="14"/>
        <v>4760</v>
      </c>
      <c r="AC19" s="828">
        <f t="shared" si="14"/>
        <v>4978</v>
      </c>
      <c r="AD19" s="828">
        <f t="shared" si="14"/>
        <v>0</v>
      </c>
      <c r="AE19" s="830">
        <f t="shared" si="14"/>
        <v>0</v>
      </c>
      <c r="AF19" s="831">
        <f t="shared" si="14"/>
        <v>0</v>
      </c>
      <c r="AG19" s="832">
        <f t="shared" si="14"/>
        <v>0</v>
      </c>
      <c r="AH19" s="830">
        <f t="shared" si="14"/>
        <v>0</v>
      </c>
      <c r="AI19" s="820">
        <f t="shared" si="14"/>
        <v>257</v>
      </c>
      <c r="AJ19" s="820">
        <f t="shared" si="14"/>
        <v>0</v>
      </c>
      <c r="AK19" s="830">
        <f t="shared" si="14"/>
        <v>0</v>
      </c>
      <c r="AL19" s="884">
        <f>IF(ISNUMBER(NºAsuntos!G19/NºAsuntos!E19),NºAsuntos!G19/NºAsuntos!E19," - ")</f>
        <v>0.87022526934378064</v>
      </c>
      <c r="AM19" s="885">
        <f>IF(ISNUMBER(((NºAsuntos!I19/NºAsuntos!G19)*11)/factor_trimestre),((NºAsuntos!I19/NºAsuntos!G19)*11)/factor_trimestre," - ")</f>
        <v>18.798536859876197</v>
      </c>
      <c r="AN19" s="885">
        <f>IF(ISNUMBER('Resol  Asuntos'!D19/NºAsuntos!G19),'Resol  Asuntos'!D19/NºAsuntos!G19," - ")</f>
        <v>0.14462577377602701</v>
      </c>
      <c r="AO19" s="886">
        <f>IF(ISNUMBER((NºAsuntos!C19+NºAsuntos!E19)/NºAsuntos!G19),(NºAsuntos!C19+NºAsuntos!E19)/NºAsuntos!G19," - ")</f>
        <v>7.3066966797974118</v>
      </c>
      <c r="AP19" s="887" t="str">
        <f t="shared" si="2"/>
        <v xml:space="preserve"> - </v>
      </c>
      <c r="AQ19" s="888">
        <f>IF(OR(ISNUMBER(FIND("01",Criterios!A8,1)),ISNUMBER(FIND("02",Criterios!A8,1)),ISNUMBER(FIND("03",Criterios!A8,1)),ISNUMBER(FIND("04",Criterios!A8,1))),(I19-W19+K19)/(F19-K19),(H19-W19+K19)/(F19-K19))</f>
        <v>-0.24252001685630004</v>
      </c>
      <c r="AR19" s="889">
        <f>IF(ISNUMBER((Datos!P19-Datos!Q19)/(Datos!R19-Datos!P19+Datos!Q19)),(Datos!P19-Datos!Q19)/(Datos!R19-Datos!P19+Datos!Q19)," - ")</f>
        <v>2.101281781886951E-4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2170.8000000000002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2665.0488425793123</v>
      </c>
      <c r="G21" s="253">
        <f>IF(ISNUMBER(STDEV(G8:G18)),STDEV(G8:G18),"-")</f>
        <v>2727.4736845659941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584.86819027880119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63.456021516217568</v>
      </c>
      <c r="AJ21" s="252">
        <f t="shared" si="18"/>
        <v>0</v>
      </c>
      <c r="AK21" s="254">
        <f t="shared" si="18"/>
        <v>0</v>
      </c>
      <c r="AL21" s="249">
        <f t="shared" si="18"/>
        <v>0.31415495337553373</v>
      </c>
      <c r="AM21" s="250">
        <f t="shared" si="18"/>
        <v>21.634908500521814</v>
      </c>
      <c r="AN21" s="250">
        <f t="shared" si="18"/>
        <v>0.35630954984290902</v>
      </c>
      <c r="AO21" s="251">
        <f t="shared" si="18"/>
        <v>15.67317173803651</v>
      </c>
      <c r="AP21" s="291" t="str">
        <f t="shared" si="18"/>
        <v>-</v>
      </c>
      <c r="AQ21" s="292">
        <f t="shared" si="18"/>
        <v>0.14077993684432155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Y7Kq/ySTk021A0i+FVjhPY/CidyPF0cZUio88dIhgC28k76WEtmWYnbgqI048iB00kS5dNln2aEi1ZBu6ZMRg==" saltValue="zKOXrL88kAXx2zUzqYr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-2.2058823529411766E-2</v>
      </c>
      <c r="E10" s="348">
        <f>IF(ISNUMBER((Datos!J10-Datos!T10)/Datos!T10),(Datos!J10-Datos!T10)/Datos!T10," - ")</f>
        <v>1</v>
      </c>
      <c r="F10" s="348">
        <f>IF(ISNUMBER((Datos!K10-Datos!U10)/Datos!U10),(Datos!K10-Datos!U10)/Datos!U10," - ")</f>
        <v>0</v>
      </c>
      <c r="G10" s="349">
        <f>IF(ISNUMBER((Datos!L10-Datos!V10)/Datos!V10),(Datos!L10-Datos!V10)/Datos!V10," - ")</f>
        <v>-0.52238805970149249</v>
      </c>
      <c r="H10" s="230">
        <f>IF(ISNUMBER((Datos!M10-Datos!W10)/Datos!W10),(Datos!M10-Datos!W10)/Datos!W10," - ")</f>
        <v>0</v>
      </c>
      <c r="I10" s="350">
        <f>IF(ISNUMBER((Tasas!C10-Datos!BE10)/Datos!BE10),(Tasas!C10-Datos!BE10)/Datos!BE10," - ")</f>
        <v>-0.52238805970149249</v>
      </c>
      <c r="J10" s="349">
        <f>IF(ISNUMBER((Tasas!D10-Datos!BF10)/Datos!BF10),(Tasas!D10-Datos!BF10)/Datos!BF10," - ")</f>
        <v>0</v>
      </c>
      <c r="K10" s="351">
        <f>IF(ISNUMBER((Tasas!E10-Datos!BG10)/Datos!BG10),(Tasas!E10-Datos!BG10)/Datos!BG10," - ")</f>
        <v>-1.4598540145985351E-2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8.0645161290322578E-2</v>
      </c>
      <c r="I12" s="350">
        <f>IF(ISNUMBER((Tasas!C12-Datos!BE12)/Datos!BE12),(Tasas!C12-Datos!BE12)/Datos!BE12," - ")</f>
        <v>0.37608365132706312</v>
      </c>
      <c r="J12" s="349">
        <f>IF(ISNUMBER((Tasas!D12-Datos!BF12)/Datos!BF12),(Tasas!D12-Datos!BF12)/Datos!BF12," - ")</f>
        <v>-0.54452424992192938</v>
      </c>
      <c r="K12" s="351">
        <f>IF(ISNUMBER((Tasas!E12-Datos!BG12)/Datos!BG12),(Tasas!E12-Datos!BG12)/Datos!BG12," - ")</f>
        <v>0.23265923100489178</v>
      </c>
      <c r="M12" t="e">
        <f>IF(Monitorios="SI",Datos!CE12,0)</f>
        <v>#REF!</v>
      </c>
      <c r="N12" t="e">
        <f>IF(Monitorios="SI",Datos!CF12,0)</f>
        <v>#REF!</v>
      </c>
      <c r="O12" t="e">
        <f>IF(Monitorios="SI",Datos!CG12,0)</f>
        <v>#REF!</v>
      </c>
      <c r="P12" t="e">
        <f>IF(Monitorios="SI",Datos!CH12,0)</f>
        <v>#REF!</v>
      </c>
      <c r="Q12">
        <f>IF(J_V="SI",0,Datos!AG12)</f>
        <v>215</v>
      </c>
      <c r="R12">
        <f>IF(J_V="SI",0,Datos!AH12)</f>
        <v>17</v>
      </c>
      <c r="S12">
        <f>IF(J_V="SI",0,Datos!AI12)</f>
        <v>25</v>
      </c>
      <c r="T12">
        <f>IF(J_V="SI",0,Datos!AJ12)</f>
        <v>195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7.874015748031496E-2</v>
      </c>
      <c r="I13" s="357">
        <f>IF(ISNUMBER((Tasas!C13-Datos!BE13)/Datos!BE13),(Tasas!C13-Datos!BE13)/Datos!BE13," - ")</f>
        <v>0.34734592354571298</v>
      </c>
      <c r="J13" s="355">
        <f>IF(ISNUMBER((Tasas!D13-Datos!BF13)/Datos!BF13),(Tasas!D13-Datos!BF13)/Datos!BF13," - ")</f>
        <v>-0.53928759286292638</v>
      </c>
      <c r="K13" s="358">
        <f>IF(ISNUMBER((Tasas!E13-Datos!BG13)/Datos!BG13),(Tasas!E13-Datos!BG13)/Datos!BG13," - ")</f>
        <v>0.22368858966685312</v>
      </c>
      <c r="M13" t="e">
        <f>IF(Monitorios="SI",Datos!CE13,0)</f>
        <v>#REF!</v>
      </c>
      <c r="N13" t="e">
        <f>IF(Monitorios="SI",Datos!CF13,0)</f>
        <v>#REF!</v>
      </c>
      <c r="O13" t="e">
        <f>IF(Monitorios="SI",Datos!CG13,0)</f>
        <v>#REF!</v>
      </c>
      <c r="P13" t="e">
        <f>IF(Monitorios="SI",Datos!CH13,0)</f>
        <v>#REF!</v>
      </c>
      <c r="Q13">
        <f>IF(J_V="SI",0,Datos!AG13)</f>
        <v>215</v>
      </c>
      <c r="R13">
        <f>IF(J_V="SI",0,Datos!AH13)</f>
        <v>17</v>
      </c>
      <c r="S13">
        <f>IF(J_V="SI",0,Datos!AI13)</f>
        <v>25</v>
      </c>
      <c r="T13">
        <f>IF(J_V="SI",0,Datos!AJ13)</f>
        <v>195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0.13683733574988671</v>
      </c>
      <c r="E16" s="348">
        <f>IF(ISNUMBER(
   IF(D_I="SI",(Datos!J16-Datos!T16)/Datos!T16,(Datos!J16+Datos!AD16-(Datos!T16+Datos!AL16))/(Datos!T16+Datos!AL16))
     ),IF(D_I="SI",(Datos!J16-Datos!T16)/Datos!T16,(Datos!J16+Datos!AD16-(Datos!T16+Datos!AL16))/(Datos!T16+Datos!AL16))," - ")</f>
        <v>-0.12943262411347517</v>
      </c>
      <c r="F16" s="348">
        <f>IF(ISNUMBER(
   IF(D_I="SI",(Datos!K16-Datos!U16)/Datos!U16,(Datos!K16+Datos!AE16-(Datos!U16+Datos!AM16))/(Datos!U16+Datos!AM16))
     ),IF(D_I="SI",(Datos!K16-Datos!U16)/Datos!U16,(Datos!K16+Datos!AE16-(Datos!U16+Datos!AM16))/(Datos!U16+Datos!AM16))," - ")</f>
        <v>5.3212851405622492E-2</v>
      </c>
      <c r="G16" s="349">
        <f>IF(ISNUMBER(
   IF(D_I="SI",(Datos!L16-Datos!V16)/Datos!V16,(Datos!L16+Datos!AF16-(Datos!V16+Datos!AN16))/(Datos!V16+Datos!AN16))
     ),IF(D_I="SI",(Datos!L16-Datos!V16)/Datos!V16,(Datos!L16+Datos!AF16-(Datos!V16+Datos!AN16))/(Datos!V16+Datos!AN16))," - ")</f>
        <v>1.4511873350923483E-2</v>
      </c>
      <c r="H16" s="230">
        <f>IF(ISNUMBER((Datos!M16-Datos!W16)/Datos!W16),(Datos!M16-Datos!W16)/Datos!W16," - ")</f>
        <v>0.35714285714285715</v>
      </c>
      <c r="I16" s="350">
        <f>IF(ISNUMBER((Tasas!C16-Datos!BE16)/Datos!BE16),(Tasas!C16-Datos!BE16)/Datos!BE16," - ")</f>
        <v>-3.674563788606313E-2</v>
      </c>
      <c r="J16" s="349">
        <f>IF(ISNUMBER((Tasas!D16-Datos!BF16)/Datos!BF16),(Tasas!D16-Datos!BF16)/Datos!BF16," - ")</f>
        <v>0.28857415225384736</v>
      </c>
      <c r="K16" s="351">
        <f>IF(ISNUMBER((Tasas!E16-Datos!BG16)/Datos!BG16),(Tasas!E16-Datos!BG16)/Datos!BG16," - ")</f>
        <v>2.7941924721487328E-2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1.7058823529411764</v>
      </c>
      <c r="E17" s="348">
        <f>IF(ISNUMBER(
   IF(D_I="SI",(Datos!J17-Datos!T17)/Datos!T17,(Datos!J17+Datos!AD17-(Datos!T17+Datos!AL17))/(Datos!T17+Datos!AL17))
     ),IF(D_I="SI",(Datos!J17-Datos!T17)/Datos!T17,(Datos!J17+Datos!AD17-(Datos!T17+Datos!AL17))/(Datos!T17+Datos!AL17))," - ")</f>
        <v>0.22352941176470589</v>
      </c>
      <c r="F17" s="348">
        <f>IF(ISNUMBER(
   IF(D_I="SI",(Datos!K17-Datos!U17)/Datos!U17,(Datos!K17+Datos!AE17-(Datos!U17+Datos!AM17))/(Datos!U17+Datos!AM17))
     ),IF(D_I="SI",(Datos!K17-Datos!U17)/Datos!U17,(Datos!K17+Datos!AE17-(Datos!U17+Datos!AM17))/(Datos!U17+Datos!AM17))," - ")</f>
        <v>0.43478260869565216</v>
      </c>
      <c r="G17" s="349">
        <f>IF(ISNUMBER(
   IF(D_I="SI",(Datos!L17-Datos!V17)/Datos!V17,(Datos!L17+Datos!AF17-(Datos!V17+Datos!AN17))/(Datos!V17+Datos!AN17))
     ),IF(D_I="SI",(Datos!L17-Datos!V17)/Datos!V17,(Datos!L17+Datos!AF17-(Datos!V17+Datos!AN17))/(Datos!V17+Datos!AN17))," - ")</f>
        <v>-2.5423728813559324E-2</v>
      </c>
      <c r="H17" s="230">
        <f>IF(ISNUMBER((Datos!M17-Datos!W17)/Datos!W17),(Datos!M17-Datos!W17)/Datos!W17," - ")</f>
        <v>0.5</v>
      </c>
      <c r="I17" s="350">
        <f>IF(ISNUMBER((Tasas!C17-Datos!BE17)/Datos!BE17),(Tasas!C17-Datos!BE17)/Datos!BE17," - ")</f>
        <v>-0.32074987159732926</v>
      </c>
      <c r="J17" s="349">
        <f>IF(ISNUMBER((Tasas!D17-Datos!BF17)/Datos!BF17),(Tasas!D17-Datos!BF17)/Datos!BF17," - ")</f>
        <v>4.545454545454547E-2</v>
      </c>
      <c r="K17" s="351">
        <f>IF(ISNUMBER((Tasas!E17-Datos!BG17)/Datos!BG17),(Tasas!E17-Datos!BG17)/Datos!BG17," - ")</f>
        <v>0.4163020580132879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0.17227635075287864</v>
      </c>
      <c r="E18" s="354">
        <f>IF(ISNUMBER(
   IF(D_I="SI",(Datos!J18-Datos!T18)/Datos!T18,(Datos!J18+Datos!AD18-(Datos!T18+Datos!AL18))/(Datos!T18+Datos!AL18))
     ),IF(D_I="SI",(Datos!J18-Datos!T18)/Datos!T18,(Datos!J18+Datos!AD18-(Datos!T18+Datos!AL18))/(Datos!T18+Datos!AL18))," - ")</f>
        <v>-0.10469909315746084</v>
      </c>
      <c r="F18" s="354">
        <f>IF(ISNUMBER(
   IF(D_I="SI",(Datos!K18-Datos!U18)/Datos!U18,(Datos!K18+Datos!AE18-(Datos!U18+Datos!AM18))/(Datos!U18+Datos!AM18))
     ),IF(D_I="SI",(Datos!K18-Datos!U18)/Datos!U18,(Datos!K18+Datos!AE18-(Datos!U18+Datos!AM18))/(Datos!U18+Datos!AM18))," - ")</f>
        <v>7.7934272300469482E-2</v>
      </c>
      <c r="G18" s="355">
        <f>IF(ISNUMBER(
   IF(D_I="SI",(Datos!L18-Datos!V18)/Datos!V18,(Datos!L18+Datos!AF18-(Datos!V18+Datos!AN18))/(Datos!V18+Datos!AN18))
     ),IF(D_I="SI",(Datos!L18-Datos!V18)/Datos!V18,(Datos!L18+Datos!AF18-(Datos!V18+Datos!AN18))/(Datos!V18+Datos!AN18))," - ")</f>
        <v>1.350192884697814E-2</v>
      </c>
      <c r="H18" s="356">
        <f>IF(ISNUMBER((Datos!M18-Datos!W18)/Datos!W18),(Datos!M18-Datos!W18)/Datos!W18," - ")</f>
        <v>0.36363636363636365</v>
      </c>
      <c r="I18" s="357">
        <f>IF(ISNUMBER((Tasas!C18-Datos!BE18)/Datos!BE18),(Tasas!C18-Datos!BE18)/Datos!BE18," - ")</f>
        <v>-5.9773907472097806E-2</v>
      </c>
      <c r="J18" s="355">
        <f>IF(ISNUMBER((Tasas!D18-Datos!BF18)/Datos!BF18),(Tasas!D18-Datos!BF18)/Datos!BF18," - ")</f>
        <v>0.26504592968007612</v>
      </c>
      <c r="K18" s="358">
        <f>IF(ISNUMBER((Tasas!E18-Datos!BG18)/Datos!BG18),(Tasas!E18-Datos!BG18)/Datos!BG18," - ")</f>
        <v>3.3117162331386937E-2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0.2479470802919708</v>
      </c>
      <c r="E19" s="363">
        <f>IF(ISNUMBER(
   IF(J_V="SI",(Datos!J19-Datos!T19)/Datos!T19,(Datos!J19+Datos!Z19-(Datos!T19+Datos!AH19))/(Datos!T19+Datos!AH19))
     ),IF(J_V="SI",(Datos!J19-Datos!T19)/Datos!T19,(Datos!J19+Datos!Z19-(Datos!T19+Datos!AH19))/(Datos!T19+Datos!AH19))," - ")</f>
        <v>0.1079761258817146</v>
      </c>
      <c r="F19" s="363">
        <f>IF(ISNUMBER(
   IF(J_V="SI",(Datos!K19-Datos!U19)/Datos!U19,(Datos!K19+Datos!AA19-(Datos!U19+Datos!AI19))/(Datos!U19+Datos!AI19))
     ),IF(J_V="SI",(Datos!K19-Datos!U19)/Datos!U19,(Datos!K19+Datos!AA19-(Datos!U19+Datos!AI19))/(Datos!U19+Datos!AI19))," - ")</f>
        <v>8.7515299877600983E-2</v>
      </c>
      <c r="G19" s="364">
        <f>IF(ISNUMBER(
   IF(J_V="SI",(Datos!L19-Datos!V19)/Datos!V19,(Datos!L19+Datos!AB19-(Datos!V19+Datos!AJ19))/(Datos!V19+Datos!AJ19))
     ),IF(J_V="SI",(Datos!L19-Datos!V19)/Datos!V19,(Datos!L19+Datos!AB19-(Datos!V19+Datos!AJ19))/(Datos!V19+Datos!AJ19))," - ")</f>
        <v>0.24177539868406378</v>
      </c>
      <c r="H19" s="365">
        <f>IF(ISNUMBER((Datos!M19-Datos!W19)/Datos!W19),(Datos!M19-Datos!W19)/Datos!W19," - ")</f>
        <v>0.19534883720930232</v>
      </c>
      <c r="I19" s="362">
        <f>IF(ISNUMBER((Tasas!C19-Datos!BE19)/Datos!BE19),(Tasas!C19-Datos!BE19)/Datos!BE19," - ")</f>
        <v>0.14184637110284759</v>
      </c>
      <c r="J19" s="363">
        <f>IF(ISNUMBER((Tasas!D19-Datos!BF19)/Datos!BF19),(Tasas!D19-Datos!BF19)/Datos!BF19," - ")</f>
        <v>-0.33804337717078953</v>
      </c>
      <c r="K19" s="364">
        <f>IF(ISNUMBER((Tasas!E19-Datos!BG19)/Datos!BG19),(Tasas!E19-Datos!BG19)/Datos!BG19," - ")</f>
        <v>0.12516656062472625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0.80952148511969568</v>
      </c>
      <c r="E21" s="278">
        <f t="shared" si="1"/>
        <v>0.52692603932284254</v>
      </c>
      <c r="F21" s="278">
        <f t="shared" si="1"/>
        <v>0.19821886865603869</v>
      </c>
      <c r="G21" s="279">
        <f t="shared" si="1"/>
        <v>0.26228550653271998</v>
      </c>
      <c r="H21" s="285">
        <f t="shared" si="1"/>
        <v>0.20248969707185724</v>
      </c>
      <c r="I21" s="277">
        <f t="shared" si="1"/>
        <v>0.3563673982790373</v>
      </c>
      <c r="J21" s="278">
        <f t="shared" si="1"/>
        <v>0.375171047335844</v>
      </c>
      <c r="K21" s="279">
        <f t="shared" si="1"/>
        <v>0.16659587369369247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B5H/q48SXkGeYo1SxlVOO+iT+8Ia1OZnFaJQJiOhSQKpjHi/ncekcM0tHOGHeLc1p7xCosn2bFTWZzvYTLvnA==" saltValue="YR8CV+aPO8p7TYKnPLBW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